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tH7FoLzPNF3LGvEG1AaJ/go09UkN7mZ3SO+WGEJilajkjhqhAayeYhMN5496z/hb/3J1YasiIb/tsueCPb/+pw==" workbookSaltValue="+tFJEX1+iGI/F/uyP1w2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BE12" i="21" s="1"/>
  <c r="BE13" i="21" s="1"/>
  <c r="BE19"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EQ19" i="8"/>
  <c r="EN19" i="8"/>
  <c r="F12" i="21"/>
  <c r="BA13" i="16"/>
  <c r="ES19" i="8"/>
  <c r="BH19" i="13"/>
  <c r="EP19" i="8"/>
  <c r="ER19" i="13"/>
  <c r="AL13" i="16"/>
  <c r="AJ13" i="16"/>
  <c r="EP19" i="19"/>
  <c r="S13" i="16"/>
  <c r="P13" i="16"/>
  <c r="AM13" i="20"/>
  <c r="M18" i="2"/>
  <c r="T13" i="12"/>
  <c r="T13" i="16"/>
  <c r="T13" i="20"/>
  <c r="BF9" i="8"/>
  <c r="AU18" i="21"/>
  <c r="AH13" i="16"/>
  <c r="AP13" i="16"/>
  <c r="BG15" i="13"/>
  <c r="AX20" i="20"/>
  <c r="AC19" i="8" l="1"/>
  <c r="S19" i="8"/>
  <c r="AB13" i="21"/>
  <c r="BD11" i="13"/>
  <c r="AL16" i="11"/>
  <c r="C16" i="6"/>
  <c r="AZ18" i="13"/>
  <c r="BB18" i="13"/>
  <c r="BD15" i="13"/>
  <c r="BG16" i="13"/>
  <c r="BE16" i="13"/>
  <c r="BE9" i="13"/>
  <c r="R8" i="9"/>
  <c r="T17" i="11" s="1"/>
  <c r="X10" i="17"/>
  <c r="X17" i="20"/>
  <c r="L11" i="2"/>
  <c r="S17" i="14"/>
  <c r="V17" i="14" s="1"/>
  <c r="S9" i="14"/>
  <c r="V9" i="14" s="1"/>
  <c r="AA10" i="16"/>
  <c r="AA9"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V15" i="16"/>
  <c r="AA15" i="16"/>
  <c r="T15" i="11"/>
  <c r="R12" i="14"/>
  <c r="V15" i="20"/>
  <c r="V18" i="20" s="1"/>
  <c r="AA12" i="21"/>
  <c r="X13" i="20"/>
  <c r="X12" i="21"/>
  <c r="T9" i="11"/>
  <c r="BF11" i="11"/>
  <c r="BH11" i="16"/>
  <c r="BL9" i="11"/>
  <c r="BH17" i="16"/>
  <c r="BG10" i="11"/>
  <c r="BM16" i="11"/>
  <c r="P17" i="17"/>
  <c r="BL17" i="11"/>
  <c r="P17" i="11" s="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BE13" i="8"/>
  <c r="AL13" i="11"/>
  <c r="B13" i="6"/>
  <c r="BW21" i="20"/>
  <c r="V19" i="20"/>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<sst xmlns="http://schemas.openxmlformats.org/spreadsheetml/2006/main" count="2102" uniqueCount="918">
  <si>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</si>
  <si>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</si>
  <si>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</si>
  <si>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</si>
  <si>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</si>
  <si>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</si>
  <si>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</si>
  <si>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</si>
  <si>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</si>
  <si>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</si>
  <si>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</si>
  <si>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</si>
  <si>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</si>
  <si>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</si>
  <si>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</si>
  <si>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</si>
  <si>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</si>
  <si>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</si>
  <si>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</si>
  <si>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</si>
  <si>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</si>
  <si>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</si>
  <si>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</si>
  <si>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</si>
  <si>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</si>
  <si>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</si>
  <si>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</si>
  <si>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</si>
  <si>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</si>
  <si>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</si>
  <si>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</si>
  <si>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</si>
  <si>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</si>
  <si>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</si>
  <si>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</si>
  <si>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</si>
  <si>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</si>
  <si>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</si>
  <si>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</si>
  <si>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</si>
  <si>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</si>
  <si>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</si>
  <si>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</si>
  <si>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</si>
  <si>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</si>
  <si>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</si>
  <si>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</si>
  <si>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</si>
  <si>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</si>
  <si>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</si>
  <si>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</si>
  <si>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</si>
  <si>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</si>
  <si>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</si>
  <si>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</si>
  <si>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</si>
  <si>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</si>
  <si>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</si>
  <si>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</si>
  <si>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</si>
  <si>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</si>
  <si>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</si>
  <si>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</si>
  <si>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</si>
  <si>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</si>
  <si>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</si>
  <si>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</si>
  <si>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</si>
  <si>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</si>
  <si>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</si>
  <si>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</si>
  <si>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</si>
  <si>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</si>
  <si>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</si>
  <si>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</si>
  <si>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</si>
  <si>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</si>
  <si>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</si>
  <si>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</si>
  <si>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</si>
  <si>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</si>
  <si>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</si>
  <si>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</si>
  <si>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</si>
  <si>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</si>
  <si>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</si>
  <si>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</si>
  <si>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</si>
  <si>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</si>
  <si>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</si>
  <si>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</si>
  <si>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</si>
  <si>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</si>
  <si>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</si>
  <si>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</si>
  <si>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</si>
  <si>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</si>
  <si>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</si>
  <si>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</si>
  <si>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</si>
  <si>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</si>
  <si>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</si>
  <si>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</si>
  <si>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</si>
  <si>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</si>
  <si>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</si>
  <si>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</si>
  <si>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</si>
  <si>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</si>
  <si>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</si>
  <si>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</si>
  <si>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</si>
  <si>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</si>
  <si>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</si>
  <si>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</si>
  <si>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</si>
  <si>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</si>
  <si>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</si>
  <si>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</si>
  <si>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</si>
  <si>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</si>
  <si>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</si>
  <si>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</si>
  <si>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</si>
  <si>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</si>
  <si>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</si>
  <si>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</si>
  <si>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</si>
  <si>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</si>
  <si>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</si>
  <si>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</si>
  <si>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</si>
  <si>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</si>
  <si>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</si>
  <si>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</si>
  <si>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</si>
  <si>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</si>
  <si>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</si>
  <si>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</si>
  <si>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</si>
  <si>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</si>
  <si>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</si>
  <si>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</si>
  <si>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</si>
  <si>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</si>
  <si>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</si>
  <si>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</si>
  <si>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</si>
  <si>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</si>
  <si>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</si>
  <si>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</si>
  <si>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</si>
  <si>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</si>
  <si>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</si>
  <si>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</si>
  <si>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</si>
  <si>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</si>
  <si>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</si>
  <si>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</si>
  <si>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</si>
  <si>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</si>
  <si>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</si>
  <si>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</si>
  <si>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</si>
  <si>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</si>
  <si>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</si>
  <si>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</si>
  <si>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</si>
  <si>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</si>
  <si>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</si>
  <si>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</si>
  <si>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</si>
  <si>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</si>
  <si>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</si>
  <si>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</si>
  <si>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</si>
  <si>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</si>
  <si>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</si>
  <si>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</si>
  <si>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</si>
  <si>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</si>
  <si>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</si>
  <si>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</si>
  <si>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</si>
  <si>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</si>
  <si>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</si>
  <si>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</si>
  <si>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</si>
  <si>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</si>
  <si>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</si>
  <si>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</si>
  <si>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</si>
  <si>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</si>
  <si>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</si>
  <si>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</si>
  <si>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</si>
  <si>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</si>
  <si>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</si>
  <si>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</si>
  <si>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</si>
  <si>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</si>
  <si>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</si>
  <si>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</si>
  <si>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</si>
  <si>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</si>
  <si>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</si>
  <si>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</si>
  <si>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</si>
  <si>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</si>
  <si>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</si>
  <si>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</si>
  <si>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</si>
  <si>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</si>
  <si>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</si>
  <si>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</si>
  <si>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</si>
  <si>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</si>
  <si>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</si>
  <si>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</si>
  <si>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</si>
  <si>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</si>
  <si>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</si>
  <si>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</si>
  <si>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</si>
  <si>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</si>
  <si>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</si>
  <si>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</si>
  <si>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</si>
  <si>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</si>
  <si>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</si>
  <si>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</si>
  <si>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</si>
  <si>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</si>
  <si>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</si>
  <si>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</si>
  <si>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</si>
  <si>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</si>
  <si>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</si>
  <si>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</si>
  <si>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</si>
  <si>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</si>
  <si>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</si>
  <si>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</si>
  <si>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</si>
  <si>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</si>
  <si>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</si>
  <si>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</si>
  <si>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</si>
  <si>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</si>
  <si>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</si>
  <si>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</si>
  <si>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</si>
  <si>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</si>
  <si>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</si>
  <si>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</si>
  <si>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</si>
  <si>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</si>
  <si>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</si>
  <si>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</si>
  <si>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</si>
  <si>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</si>
  <si>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</si>
  <si>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</si>
  <si>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</si>
  <si>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</si>
  <si>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</si>
  <si>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</si>
  <si>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</si>
  <si>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</si>
  <si>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</si>
  <si>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</si>
  <si>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</si>
  <si>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</si>
  <si>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</si>
  <si>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</si>
  <si>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</si>
  <si>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</si>
  <si>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</si>
  <si>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</si>
  <si>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</si>
  <si>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</si>
  <si>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</si>
  <si>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</si>
  <si>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</si>
  <si>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</si>
  <si>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</si>
  <si>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</si>
  <si>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</si>
  <si>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</si>
  <si>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</si>
  <si>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</si>
  <si>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</si>
  <si>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</si>
  <si>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</si>
  <si>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</si>
  <si>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</si>
  <si>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</si>
  <si>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</si>
  <si>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</si>
  <si>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</si>
  <si>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</si>
  <si>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</si>
  <si>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</si>
  <si>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</si>
  <si>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</si>
  <si>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</si>
  <si>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</si>
  <si>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</si>
  <si>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</si>
  <si>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</si>
  <si>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</si>
  <si>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</si>
  <si>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</si>
  <si>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</si>
  <si>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</si>
  <si>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</si>
  <si>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</si>
  <si>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</si>
  <si>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</si>
  <si>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</si>
  <si>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</si>
  <si>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</si>
  <si>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</si>
  <si>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</si>
  <si>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</si>
  <si>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</si>
  <si>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</si>
  <si>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</si>
  <si>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</si>
  <si>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</si>
  <si>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</si>
  <si>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</si>
  <si>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</si>
  <si>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</si>
  <si>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</si>
  <si>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</si>
  <si>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</si>
  <si>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</si>
  <si>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</si>
  <si>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</si>
  <si>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</si>
  <si>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</si>
  <si>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</si>
  <si>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</si>
  <si>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</si>
  <si>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</si>
  <si>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</si>
  <si>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</si>
  <si>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</si>
  <si>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</si>
  <si>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</si>
  <si>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</si>
  <si>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</si>
  <si>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</si>
  <si>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</si>
  <si>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</si>
  <si>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</si>
  <si>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</si>
  <si>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</si>
  <si>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</si>
  <si>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</si>
  <si>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</si>
  <si>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</si>
  <si>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</si>
  <si>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</si>
  <si>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</si>
  <si>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</si>
  <si>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</si>
  <si>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</si>
  <si>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</si>
  <si>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</si>
  <si>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</si>
  <si>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</si>
  <si>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</si>
  <si>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</si>
  <si>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</si>
  <si>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</si>
  <si>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</si>
  <si>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</si>
  <si>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</si>
  <si>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</si>
  <si>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</si>
  <si>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</si>
  <si>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</si>
  <si>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</si>
  <si>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</si>
  <si>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</si>
  <si>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</si>
  <si>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</si>
  <si>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</si>
  <si>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</si>
  <si>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</si>
  <si>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</si>
  <si>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</si>
  <si>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</si>
  <si>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</si>
  <si>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</si>
  <si>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</si>
  <si>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</si>
  <si>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</si>
  <si>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</si>
  <si>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</si>
  <si>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</si>
  <si>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</si>
  <si>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</si>
  <si>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</si>
  <si>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</si>
  <si>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</si>
  <si>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</si>
  <si>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</si>
  <si>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</si>
  <si>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</si>
  <si>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</si>
  <si>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</si>
  <si>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</si>
  <si>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</si>
  <si>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</si>
  <si>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</si>
  <si>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</si>
  <si>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</si>
  <si>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</si>
  <si>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</si>
  <si>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</si>
  <si>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</si>
  <si>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</si>
  <si>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</si>
  <si>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</si>
  <si>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</si>
  <si>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</si>
  <si>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</si>
  <si>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</si>
  <si>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</si>
  <si>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</si>
  <si>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</si>
  <si>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</si>
  <si>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</si>
  <si>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</si>
  <si>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</si>
  <si>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</si>
  <si>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</si>
  <si>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</si>
  <si>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</si>
  <si>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</si>
  <si>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</si>
  <si>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</si>
  <si>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</si>
  <si>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</si>
  <si>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</si>
  <si>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</si>
  <si>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</si>
  <si>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</si>
  <si>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</si>
  <si>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</si>
  <si>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</si>
  <si>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</si>
  <si>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</si>
  <si>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</si>
  <si>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</si>
  <si>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</si>
  <si>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</si>
  <si>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</si>
  <si>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</si>
  <si>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</si>
  <si>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</si>
  <si>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</si>
  <si>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</si>
  <si>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</si>
  <si>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</si>
  <si>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</si>
  <si>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</si>
  <si>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</si>
  <si>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</si>
  <si>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</si>
  <si>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</si>
  <si>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</si>
  <si>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</si>
  <si>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</si>
  <si>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</si>
  <si>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</si>
  <si>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</si>
  <si>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</si>
  <si>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</si>
  <si>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</si>
  <si>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</si>
  <si>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</si>
  <si>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</si>
  <si>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</si>
  <si>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</si>
  <si>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</si>
  <si>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</si>
  <si>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</si>
  <si>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</si>
  <si>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</si>
  <si>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</si>
  <si>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</si>
  <si>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</si>
  <si>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</si>
  <si>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</si>
  <si>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</si>
  <si>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</si>
  <si>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</si>
  <si>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</si>
  <si>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</si>
  <si>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</si>
  <si>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</si>
  <si>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</si>
  <si>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</si>
  <si>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</si>
  <si>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</si>
  <si>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</si>
  <si>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</si>
  <si>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</si>
  <si>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</si>
  <si>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</si>
  <si>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</si>
  <si>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</si>
  <si>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</si>
  <si>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</si>
  <si>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</si>
  <si>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</si>
  <si>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</si>
  <si>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</si>
  <si>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</si>
  <si>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</si>
  <si>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</si>
  <si>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</si>
  <si>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</si>
  <si>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</si>
  <si>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</si>
  <si>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</si>
  <si>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</si>
  <si>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</si>
  <si>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</si>
  <si>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</si>
  <si>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</si>
  <si>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</si>
  <si>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</si>
  <si>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</si>
  <si>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</si>
  <si>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</si>
  <si>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</si>
  <si>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</si>
  <si>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</si>
  <si>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</si>
  <si>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</si>
  <si>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</si>
  <si>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</si>
  <si>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</si>
  <si>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</si>
  <si>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</si>
  <si>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</si>
  <si>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</si>
  <si>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</si>
  <si>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</si>
  <si>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</si>
  <si>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</si>
  <si>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</si>
  <si>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</si>
  <si>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</si>
  <si>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</si>
  <si>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</si>
  <si>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</si>
  <si>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</si>
  <si>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</si>
  <si>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</si>
  <si>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</si>
  <si>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</si>
  <si>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</si>
  <si>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</si>
  <si>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</si>
  <si>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</si>
  <si>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</si>
  <si>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</si>
  <si>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</si>
  <si>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</si>
  <si>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</si>
  <si>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</si>
  <si>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</si>
  <si>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</si>
  <si>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</si>
  <si>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</si>
  <si>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</si>
  <si>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</si>
  <si>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</si>
  <si>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</si>
  <si>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</si>
  <si>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</si>
  <si>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</si>
  <si>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</si>
  <si>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</si>
  <si>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</si>
  <si>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</si>
  <si>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</si>
  <si>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</si>
  <si>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</si>
  <si>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</si>
  <si>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</si>
  <si>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</si>
  <si>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</si>
  <si>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</si>
  <si>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</si>
  <si>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</si>
  <si>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</si>
  <si>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</si>
  <si>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</si>
  <si>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</si>
  <si>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</si>
  <si>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</si>
  <si>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</si>
  <si>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</si>
  <si>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</si>
  <si>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</si>
  <si>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</si>
  <si>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</si>
  <si>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</si>
  <si>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</si>
  <si>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</si>
  <si>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</si>
  <si>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</si>
  <si>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</si>
  <si>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</si>
  <si>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</si>
  <si>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</si>
  <si>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</si>
  <si>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</si>
  <si>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</si>
  <si>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</si>
  <si>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</si>
  <si>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</si>
  <si>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</si>
  <si>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</si>
  <si>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</si>
  <si>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</si>
  <si>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</si>
  <si>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</si>
  <si>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</si>
  <si>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</si>
  <si>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</si>
  <si>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</si>
  <si>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</si>
  <si>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</si>
  <si>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</si>
  <si>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</si>
  <si>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</si>
  <si>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</si>
  <si>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</si>
  <si>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</si>
  <si>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</si>
  <si>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</si>
  <si>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</si>
  <si>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</si>
  <si>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</si>
  <si>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</si>
  <si>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</si>
  <si>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</si>
  <si>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</si>
  <si>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</si>
  <si>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</si>
  <si>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</si>
  <si>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</si>
  <si>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</si>
  <si>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</si>
  <si>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</si>
  <si>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</si>
  <si>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</si>
  <si>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</si>
  <si>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</si>
  <si>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</si>
  <si>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</si>
  <si>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</si>
  <si>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</si>
  <si>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</si>
  <si>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</si>
  <si>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</si>
  <si>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</si>
  <si>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</si>
  <si>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</si>
  <si>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</si>
  <si>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</si>
  <si>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</si>
  <si>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</si>
  <si>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</si>
  <si>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</si>
  <si>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</si>
  <si>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</si>
  <si>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</si>
  <si>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</si>
  <si>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</si>
  <si>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</si>
  <si>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</si>
  <si>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</si>
  <si>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</si>
  <si>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</si>
  <si>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</si>
  <si>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</si>
  <si>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</si>
  <si>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</si>
  <si>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</si>
  <si>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</si>
  <si>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</si>
  <si>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</si>
  <si>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</si>
  <si>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</si>
  <si>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</si>
  <si>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</si>
  <si>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</si>
  <si>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</si>
  <si>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</si>
  <si>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</si>
  <si>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</si>
  <si>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</si>
  <si>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</si>
  <si>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</si>
  <si>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</si>
  <si>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</si>
  <si>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</si>
  <si>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</si>
  <si>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</si>
  <si>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</si>
  <si>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</si>
  <si>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</si>
  <si>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</si>
  <si>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</si>
  <si>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</si>
  <si>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</si>
  <si>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</si>
  <si>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</si>
  <si>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</si>
  <si>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</si>
  <si>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</si>
  <si>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</si>
  <si>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</si>
  <si>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</si>
  <si>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</si>
  <si>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</si>
  <si>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</si>
  <si>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</si>
  <si>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</si>
  <si>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</si>
  <si>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</si>
  <si>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</si>
  <si>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</si>
  <si>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</si>
  <si>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</si>
  <si>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</si>
  <si>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</si>
  <si>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</si>
  <si>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</si>
  <si>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</si>
  <si>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</si>
  <si>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</si>
  <si>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</si>
  <si>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</si>
  <si>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</si>
  <si>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</si>
  <si>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</si>
  <si>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</si>
  <si>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</si>
  <si>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</si>
  <si>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</si>
  <si>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</si>
  <si>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</si>
  <si>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</si>
  <si>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</si>
  <si>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</si>
  <si>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</si>
  <si>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</si>
  <si>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</si>
  <si>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</si>
  <si>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</si>
  <si>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</si>
  <si>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</si>
  <si>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</si>
  <si>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</si>
  <si>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</si>
  <si>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</si>
  <si>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</si>
  <si>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</si>
  <si>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</si>
  <si>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</si>
  <si>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</si>
  <si>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</si>
  <si>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</si>
  <si>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</si>
  <si>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</si>
  <si>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</si>
  <si>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</si>
  <si>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</si>
  <si>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</si>
  <si>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</si>
  <si>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</si>
  <si>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</si>
  <si>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</si>
  <si>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</si>
  <si>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</si>
  <si>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</si>
  <si>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</si>
  <si>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</si>
  <si>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</si>
  <si>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</si>
  <si>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</si>
  <si>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</si>
  <si>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</si>
  <si>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</si>
  <si>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</si>
  <si>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</si>
  <si>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</si>
  <si>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</si>
  <si>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</si>
  <si>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</si>
  <si>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</si>
  <si>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</si>
  <si>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</si>
  <si>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</si>
  <si>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</si>
  <si>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</si>
  <si>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</si>
  <si>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</si>
  <si>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</si>
  <si>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</si>
  <si>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</si>
  <si>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</si>
  <si>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</si>
  <si>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</si>
  <si>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</si>
  <si>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</si>
  <si>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</si>
  <si>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</si>
  <si>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</si>
  <si>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</si>
  <si>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</si>
  <si>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</si>
  <si>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</si>
  <si>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</si>
  <si>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</si>
  <si>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</si>
  <si>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</si>
  <si>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</si>
  <si>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</si>
  <si>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</si>
  <si>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</si>
  <si>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</si>
  <si>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</si>
  <si>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</si>
  <si>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</si>
  <si>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</si>
  <si>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</si>
  <si>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</si>
  <si>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</si>
  <si>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</si>
  <si>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</si>
  <si>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</si>
  <si>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</si>
  <si>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</si>
  <si>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</si>
  <si>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</si>
  <si>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</si>
  <si>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</si>
  <si>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</si>
  <si>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</si>
  <si>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</si>
  <si>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</si>
  <si>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</si>
  <si>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</si>
  <si>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</si>
  <si>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</si>
  <si>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</si>
  <si>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</si>
  <si>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</si>
  <si>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</si>
  <si>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</si>
  <si>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</si>
  <si>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</si>
  <si>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</si>
  <si>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</si>
  <si>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</si>
  <si>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</si>
  <si>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</si>
  <si>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</si>
  <si>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</si>
  <si>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</si>
  <si>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</si>
  <si>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</si>
  <si>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</si>
  <si>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</si>
  <si>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</si>
  <si>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</si>
  <si>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</si>
  <si>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</si>
  <si>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</si>
  <si>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</si>
  <si>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</si>
  <si>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</si>
  <si>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</si>
  <si>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</si>
  <si>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</si>
  <si>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</si>
  <si>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</si>
  <si>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</si>
  <si>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</si>
  <si>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</si>
  <si>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</si>
  <si>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</si>
  <si>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</si>
  <si>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</si>
  <si>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</si>
  <si>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</si>
  <si>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</si>
  <si>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</si>
  <si>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</si>
  <si>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</si>
  <si>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</si>
  <si>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</si>
  <si>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</si>
  <si>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</si>
  <si>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</si>
  <si>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</si>
  <si>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O BARCO DE VALDEORRAS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</si>
</sst>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2nj3Q3jFA8uczlgwjNAQJURN/yj0cTHntJGqqEGpTv5ytWyOj3NmpostDiQcAF6cicQtBhKxtHu08EQQnzweg==" saltValue="S+kaKBwKxOA2x0cBNOik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BARCO DE VALDEORRAS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10</v>
      </c>
      <c r="F10" s="404">
        <f>IF(ISNUMBER(E10/B10),E10/B10," - ")</f>
        <v>10</v>
      </c>
      <c r="G10" s="403">
        <f>IF(ISNUMBER(Datos!K10),Datos!K10," - ")</f>
        <v>12</v>
      </c>
      <c r="H10" s="404">
        <f>IF(ISNUMBER(G10/B10),G10/B10," - ")</f>
        <v>12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652</v>
      </c>
      <c r="D12" s="404">
        <f>IF(ISNUMBER(C12/Datos!BH12),C12/Datos!BH12," - ")</f>
        <v>326</v>
      </c>
      <c r="E12" s="403">
        <f>IF(ISNUMBER(IF(J_V="SI",Datos!J12,Datos!J12+Datos!Z12)),IF(J_V="SI",Datos!J12,Datos!J12+Datos!Z12)," - ")</f>
        <v>1517</v>
      </c>
      <c r="F12" s="404">
        <f>IF(ISNUMBER(E12/B12),E12/B12," - ")</f>
        <v>758.5</v>
      </c>
      <c r="G12" s="403">
        <f>IF(ISNUMBER(IF(J_V="SI",Datos!K12,Datos!K12+Datos!AA12)),IF(J_V="SI",Datos!K12,Datos!K12+Datos!AA12)," - ")</f>
        <v>1135</v>
      </c>
      <c r="H12" s="404">
        <f>IF(ISNUMBER(G12/B12),G12/B12," - ")</f>
        <v>567.5</v>
      </c>
      <c r="I12" s="403">
        <f>IF(ISNUMBER(IF(J_V="SI",Datos!L12,Datos!L12+Datos!AB12)),IF(J_V="SI",Datos!L12,Datos!L12+Datos!AB12)," - ")</f>
        <v>1036</v>
      </c>
      <c r="J12" s="404">
        <f>IF(ISNUMBER(I12/B12),I12/B12," - ")</f>
        <v>518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657</v>
      </c>
      <c r="D13" s="850" t="str">
        <f>IF(ISNUMBER(C13/Datos!BI13),C13/Datos!BI13," - ")</f>
        <v xml:space="preserve"> - </v>
      </c>
      <c r="E13" s="849">
        <f>SUBTOTAL(9,E8:E12)</f>
        <v>1527</v>
      </c>
      <c r="F13" s="850">
        <f>IF(ISNUMBER(E13/B13),E13/B13," - ")</f>
        <v>763.5</v>
      </c>
      <c r="G13" s="849">
        <f>SUBTOTAL(9,G8:G12)</f>
        <v>1147</v>
      </c>
      <c r="H13" s="850">
        <f>IF(ISNUMBER(G13/B13),G13/B13," - ")</f>
        <v>573.5</v>
      </c>
      <c r="I13" s="849">
        <f>SUBTOTAL(9,I8:I12)</f>
        <v>1039</v>
      </c>
      <c r="J13" s="850">
        <f>IF(ISNUMBER(I13/B13),I13/B13," - ")</f>
        <v>519.5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164</v>
      </c>
      <c r="D16" s="404">
        <f>IF(ISNUMBER(C16/Datos!BH16),C16/Datos!BH16," - ")</f>
        <v>82</v>
      </c>
      <c r="E16" s="403">
        <f>IF(ISNUMBER(IF(D_I="SI",Datos!J16,Datos!J16+Datos!AD16)),IF(D_I="SI",Datos!J16,Datos!J16+Datos!AD16)," - ")</f>
        <v>786</v>
      </c>
      <c r="F16" s="404">
        <f>IF(ISNUMBER(E16/B16),E16/B16," - ")</f>
        <v>393</v>
      </c>
      <c r="G16" s="403">
        <f>IF(ISNUMBER(IF(D_I="SI",Datos!K16,Datos!K16+Datos!AE16)),IF(D_I="SI",Datos!K16,Datos!K16+Datos!AE16)," - ")</f>
        <v>661</v>
      </c>
      <c r="H16" s="404">
        <f>IF(ISNUMBER(G16/B16),G16/B16," - ")</f>
        <v>330.5</v>
      </c>
      <c r="I16" s="403">
        <f>IF(ISNUMBER(IF(D_I="SI",Datos!L16,Datos!L16+Datos!AF16)),IF(D_I="SI",Datos!L16,Datos!L16+Datos!AF16)," - ")</f>
        <v>290</v>
      </c>
      <c r="J16" s="404">
        <f>IF(ISNUMBER(I16/B16),I16/B16," - ")</f>
        <v>145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87</v>
      </c>
      <c r="F17" s="404">
        <f>IF(ISNUMBER(E17/B17),E17/B17," - ")</f>
        <v>87</v>
      </c>
      <c r="G17" s="403">
        <f>IF(ISNUMBER(IF(D_I="SI",Datos!K17,Datos!K17+Datos!AE17)),IF(D_I="SI",Datos!K17,Datos!K17+Datos!AE17)," - ")</f>
        <v>78</v>
      </c>
      <c r="H17" s="404">
        <f>IF(ISNUMBER(G17/B17),G17/B17," - ")</f>
        <v>78</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182</v>
      </c>
      <c r="D18" s="850" t="str">
        <f>IF(ISNUMBER(C18/Datos!BI18),C18/Datos!BI18," - ")</f>
        <v xml:space="preserve"> - </v>
      </c>
      <c r="E18" s="849">
        <f>SUBTOTAL(9,E14:E17)</f>
        <v>873</v>
      </c>
      <c r="F18" s="850">
        <f>IF(ISNUMBER(E18/B18),E18/B18," - ")</f>
        <v>436.5</v>
      </c>
      <c r="G18" s="849">
        <f>SUBTOTAL(9,G14:G17)</f>
        <v>739</v>
      </c>
      <c r="H18" s="850">
        <f>IF(ISNUMBER(G18/B18),G18/B18," - ")</f>
        <v>369.5</v>
      </c>
      <c r="I18" s="849">
        <f>SUBTOTAL(9,I14:I17)</f>
        <v>317</v>
      </c>
      <c r="J18" s="850">
        <f>IF(ISNUMBER(I18/B18),I18/B18," - ")</f>
        <v>158.5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839</v>
      </c>
      <c r="D19" s="795" t="str">
        <f>IF(ISNUMBER(C19/Datos!BI19),C19/Datos!BI19," - ")</f>
        <v xml:space="preserve"> - </v>
      </c>
      <c r="E19" s="794">
        <f>SUBTOTAL(9,E9:E18)</f>
        <v>2400</v>
      </c>
      <c r="F19" s="795">
        <f>IF(ISNUMBER(E19/B19),E19/B19," - ")</f>
        <v>1200</v>
      </c>
      <c r="G19" s="794">
        <f>SUBTOTAL(9,G9:G18)</f>
        <v>1886</v>
      </c>
      <c r="H19" s="795">
        <f>IF(ISNUMBER(G19/B19),G19/B19," - ")</f>
        <v>943</v>
      </c>
      <c r="I19" s="794">
        <f>SUBTOTAL(9,I9:I18)</f>
        <v>1356</v>
      </c>
      <c r="J19" s="795">
        <f>IF(ISNUMBER(I19/B19),I19/B19," - ")</f>
        <v>678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9PBajmIYg6cXRJZNYX0U8dG/4iPYooBBUrkadx+9czRrTzLe96gsWcG1nFWlsTOxJQbsfL7wCF3siyJNHh22g==" saltValue="Z1uBYl/I7mVaYOVBqyzm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BARCO DE VALDEORRAS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SJW2nctwBp/vcsrYO6OIIhGn5cdlfcrjhK77dGFYS9m6Y7tQ6fSAWeibDTFizGPesiDR4ovdOjHs/iybjVXvQ==" saltValue="r4Dw+owVrz3nudg1Rfnp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BARCO DE VALDEORRAS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253</v>
      </c>
      <c r="E12" s="404">
        <f t="shared" si="0"/>
        <v>126.5</v>
      </c>
      <c r="F12" s="403">
        <f>IF(ISNUMBER(Datos!N12),Datos!N12," - ")</f>
        <v>486</v>
      </c>
      <c r="G12" s="404">
        <f t="shared" si="1"/>
        <v>243</v>
      </c>
      <c r="H12" s="403">
        <f>IF(ISNUMBER(Datos!O12),Datos!O12," - ")</f>
        <v>253</v>
      </c>
      <c r="I12" s="404">
        <f t="shared" si="2"/>
        <v>126.5</v>
      </c>
      <c r="BZ12" s="1186">
        <f>Datos!EZ12</f>
        <v>0</v>
      </c>
    </row>
    <row r="13" spans="1:78" ht="14.25" thickTop="1" thickBot="1">
      <c r="A13" s="848" t="str">
        <f>Datos!A13</f>
        <v>TOTAL</v>
      </c>
      <c r="B13" s="849">
        <f>Datos!AP13</f>
        <v>2</v>
      </c>
      <c r="C13" s="851">
        <f>Datos!AR13</f>
        <v>2</v>
      </c>
      <c r="D13" s="849">
        <f>SUBTOTAL(9,D9:D12)</f>
        <v>255</v>
      </c>
      <c r="E13" s="850">
        <f t="shared" si="0"/>
        <v>127.5</v>
      </c>
      <c r="F13" s="849">
        <f>SUBTOTAL(9,F9:F12)</f>
        <v>486</v>
      </c>
      <c r="G13" s="850">
        <f t="shared" si="1"/>
        <v>243</v>
      </c>
      <c r="H13" s="849">
        <f>SUBTOTAL(9,H9:H12)</f>
        <v>253</v>
      </c>
      <c r="I13" s="850">
        <f>IF(ISNUMBER(H13/B13),H13/B13," - ")</f>
        <v>126.5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120</v>
      </c>
      <c r="E16" s="404">
        <f t="shared" si="3"/>
        <v>60</v>
      </c>
      <c r="F16" s="403">
        <f>IF(ISNUMBER(Datos!N16),Datos!N16," - ")</f>
        <v>369</v>
      </c>
      <c r="G16" s="404">
        <f t="shared" si="4"/>
        <v>184.5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136</v>
      </c>
      <c r="E18" s="850">
        <f t="shared" si="3"/>
        <v>68</v>
      </c>
      <c r="F18" s="849">
        <f>SUBTOTAL(9,F15:F17)</f>
        <v>421</v>
      </c>
      <c r="G18" s="850">
        <f t="shared" si="4"/>
        <v>210.5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391</v>
      </c>
      <c r="E19" s="795">
        <f>IF(ISNUMBER(D19/B19),D19/B19," - ")</f>
        <v>195.5</v>
      </c>
      <c r="F19" s="794">
        <f>SUBTOTAL(9,F8:F18)</f>
        <v>907</v>
      </c>
      <c r="G19" s="795">
        <f>IF(ISNUMBER(F19/B19),F19/B19," - ")</f>
        <v>453.5</v>
      </c>
      <c r="H19" s="794">
        <f>SUBTOTAL(9,H8:H18)</f>
        <v>253</v>
      </c>
      <c r="I19" s="795">
        <f>IF(ISNUMBER(H19/B19),H19/B19," - ")</f>
        <v>126.5</v>
      </c>
    </row>
    <row r="22" spans="1:78">
      <c r="A22" s="391" t="str">
        <f>Criterios!A4</f>
        <v>Fecha Informe: 28 feb. 2025</v>
      </c>
    </row>
    <row r="27" spans="1:78">
      <c r="A27" s="414"/>
    </row>
  </sheetData>
  <sheetProtection algorithmName="SHA-512" hashValue="9IYSWax77x1k+qlzbTazlk2ku5kM4qxPqL6WVBwOK8FsfBeVaULGgxpCbDwejVmEu2lGlBHOHyi4CFjFUsIh1w==" saltValue="FSua6+Iy+zhXJc0cocaO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BARCO DE VALDEORRAS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217</v>
      </c>
      <c r="C12" s="434">
        <f>IF(ISNUMBER(Datos!Q12),Datos!Q12," - ")</f>
        <v>66</v>
      </c>
      <c r="D12" s="408">
        <f>IF(ISNUMBER(Datos!R12),Datos!R12," - ")</f>
        <v>1100</v>
      </c>
    </row>
    <row r="13" spans="1:4" ht="14.25" thickTop="1" thickBot="1">
      <c r="A13" s="848" t="str">
        <f>Datos!A13</f>
        <v>TOTAL</v>
      </c>
      <c r="B13" s="849">
        <f>SUBTOTAL(9,B9:B12)</f>
        <v>217</v>
      </c>
      <c r="C13" s="853">
        <f>SUBTOTAL(9,C9:C12)</f>
        <v>66</v>
      </c>
      <c r="D13" s="851">
        <f>SUBTOTAL(9,D9:D12)</f>
        <v>1100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21</v>
      </c>
      <c r="D16" s="408">
        <f>IF(ISNUMBER(Datos!R16),Datos!R16," - ")</f>
        <v>38</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22</v>
      </c>
      <c r="C18" s="853">
        <f>SUBTOTAL(9,C15:C17)</f>
        <v>21</v>
      </c>
      <c r="D18" s="851">
        <f>SUBTOTAL(9,D15:D17)</f>
        <v>40</v>
      </c>
    </row>
    <row r="19" spans="1:4" ht="16.5" customHeight="1" thickTop="1" thickBot="1">
      <c r="A19" s="793" t="str">
        <f>Datos!A19</f>
        <v>TOTAL JURISDICCIONES</v>
      </c>
      <c r="B19" s="798">
        <f>SUBTOTAL(9,B8:B18)</f>
        <v>239</v>
      </c>
      <c r="C19" s="799">
        <f>SUBTOTAL(9,C8:C18)</f>
        <v>87</v>
      </c>
      <c r="D19" s="800">
        <f>SUBTOTAL(9,D8:D18)</f>
        <v>1140</v>
      </c>
    </row>
    <row r="20" spans="1:4" ht="7.5" customHeight="1"/>
    <row r="21" spans="1:4" ht="6" customHeight="1"/>
    <row r="22" spans="1:4">
      <c r="A22" s="391" t="str">
        <f>Criterios!A4</f>
        <v>Fecha Informe: 28 feb. 2025</v>
      </c>
    </row>
    <row r="27" spans="1:4">
      <c r="A27" s="414"/>
    </row>
  </sheetData>
  <sheetProtection algorithmName="SHA-512" hashValue="47SpqwnQHANHVfEgdeasU6qBLohkLR5BC/p6PnhaQlZa5r8/YGJRPv1hd9l0vaOzmBi+O3JchjDhMXN1XP9JmQ==" saltValue="3MvRP4YHEgQHie9oaBwN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BARCO DE VALDEORRAS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-0.54545454545454541</v>
      </c>
      <c r="C10" s="456">
        <f>IF(ISNUMBER((Datos!J10-Datos!T10)/Datos!T10),(Datos!J10-Datos!T10)/Datos!T10," - ")</f>
        <v>0.66666666666666663</v>
      </c>
      <c r="D10" s="456">
        <f>IF(ISNUMBER((Datos!K10-Datos!U10)/Datos!U10),(Datos!K10-Datos!U10)/Datos!U10," - ")</f>
        <v>0</v>
      </c>
      <c r="E10" s="456">
        <f>IF(ISNUMBER((Datos!L10-Datos!V10)/Datos!V10),(Datos!L10-Datos!V10)/Datos!V10," - ")</f>
        <v>-0.4</v>
      </c>
      <c r="F10" s="456">
        <f>IF(ISNUMBER((Datos!M10-Datos!W10)/Datos!W10),(Datos!M10-Datos!W10)/Datos!W10," - ")</f>
        <v>-0.77777777777777779</v>
      </c>
      <c r="G10" s="457">
        <f>IF(ISNUMBER((Datos!N10-Datos!X10)/Datos!X10),(Datos!N10-Datos!X10)/Datos!X10," - ")</f>
        <v>-1</v>
      </c>
      <c r="H10" s="455">
        <f>IF(ISNUMBER(((NºAsuntos!G10/NºAsuntos!E10)-Datos!BD10)/Datos!BD10),((NºAsuntos!G10/NºAsuntos!E10)-Datos!BD10)/Datos!BD10," - ")</f>
        <v>-0.4</v>
      </c>
      <c r="I10" s="456">
        <f>IF(ISNUMBER(((NºAsuntos!I10/NºAsuntos!G10)-Datos!BE10)/Datos!BE10),((NºAsuntos!I10/NºAsuntos!G10)-Datos!BE10)/Datos!BE10," - ")</f>
        <v>-0.4</v>
      </c>
      <c r="J10" s="461">
        <f>IF(ISNUMBER((('Resol  Asuntos'!D10/NºAsuntos!G10)-Datos!BF10)/Datos!BF10),(('Resol  Asuntos'!D10/NºAsuntos!G10)-Datos!BF10)/Datos!BF10," - ")</f>
        <v>-0.77777777777777779</v>
      </c>
      <c r="K10" s="462">
        <f>IF(ISNUMBER((((NºAsuntos!C10+NºAsuntos!E10)/NºAsuntos!G10)-Datos!BG10)/Datos!BG10),(((NºAsuntos!C10+NºAsuntos!E10)/NºAsuntos!G10)-Datos!BG10)/Datos!BG10," - ")</f>
        <v>-0.11764705882352945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0.81615598885793872</v>
      </c>
      <c r="C12" s="456">
        <f>IF(ISNUMBER(
   IF(J_V="SI",(Datos!J12-Datos!T12)/Datos!T12,(Datos!J12+Datos!Z12-(Datos!T12+Datos!AH12))/(Datos!T12+Datos!AH12))
     ),IF(J_V="SI",(Datos!J12-Datos!T12)/Datos!T12,(Datos!J12+Datos!Z12-(Datos!T12+Datos!AH12))/(Datos!T12+Datos!AH12))," - ")</f>
        <v>0.33421284080914687</v>
      </c>
      <c r="D12" s="456">
        <f>IF(ISNUMBER(
   IF(J_V="SI",(Datos!K12-Datos!U12)/Datos!U12,(Datos!K12+Datos!AA12-(Datos!U12+Datos!AI12))/(Datos!U12+Datos!AI12))
     ),IF(J_V="SI",(Datos!K12-Datos!U12)/Datos!U12,(Datos!K12+Datos!AA12-(Datos!U12+Datos!AI12))/(Datos!U12+Datos!AI12))," - ")</f>
        <v>0.34478672985781988</v>
      </c>
      <c r="E12" s="456">
        <f>IF(ISNUMBER(
   IF(J_V="SI",(Datos!L12-Datos!V12)/Datos!V12,(Datos!L12+Datos!AB12-(Datos!V12+Datos!AJ12))/(Datos!V12+Datos!AJ12))
     ),IF(J_V="SI",(Datos!L12-Datos!V12)/Datos!V12,(Datos!L12+Datos!AB12-(Datos!V12+Datos!AJ12))/(Datos!V12+Datos!AJ12))," - ")</f>
        <v>0.58895705521472397</v>
      </c>
      <c r="F12" s="456">
        <f>IF(ISNUMBER((Datos!M12-Datos!W12)/Datos!W12),(Datos!M12-Datos!W12)/Datos!W12," - ")</f>
        <v>0.6428571428571429</v>
      </c>
      <c r="G12" s="457">
        <f>IF(ISNUMBER((Datos!N12-Datos!X12)/Datos!X12),(Datos!N12-Datos!X12)/Datos!X12," - ")</f>
        <v>0.92094861660079053</v>
      </c>
      <c r="H12" s="455">
        <f>IF(ISNUMBER(((NºAsuntos!G12/NºAsuntos!E12)-Datos!BD12)/Datos!BD12),((NºAsuntos!G12/NºAsuntos!E12)-Datos!BD12)/Datos!BD12," - ")</f>
        <v>7.9251890892163418E-3</v>
      </c>
      <c r="I12" s="456">
        <f>IF(ISNUMBER(((NºAsuntos!I12/NºAsuntos!G12)-Datos!BE12)/Datos!BE12),((NºAsuntos!I12/NºAsuntos!G12)-Datos!BE12)/Datos!BE12," - ")</f>
        <v>0.18156806572795328</v>
      </c>
      <c r="J12" s="461">
        <f>IF(ISNUMBER((('Resol  Asuntos'!D12/NºAsuntos!G12)-Datos!BF12)/Datos!BF12),(('Resol  Asuntos'!D12/NºAsuntos!G12)-Datos!BF12)/Datos!BF12," - ")</f>
        <v>-0.25638766519823791</v>
      </c>
      <c r="K12" s="462">
        <f>IF(ISNUMBER((((NºAsuntos!C12+NºAsuntos!E12)/NºAsuntos!G12)-Datos!BG12)/Datos!BG12),(((NºAsuntos!C12+NºAsuntos!E12)/NºAsuntos!G12)-Datos!BG12)/Datos!BG12," - ")</f>
        <v>7.8138472048811525E-2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0.77567567567567564</v>
      </c>
      <c r="C13" s="855">
        <f>IF(ISNUMBER(
   IF(J_V="SI",(Datos!J13-Datos!T13)/Datos!T13,(Datos!J13+Datos!Z13-(Datos!T13+Datos!AH13))/(Datos!T13+Datos!AH13))
     ),IF(J_V="SI",(Datos!J13-Datos!T13)/Datos!T13,(Datos!J13+Datos!Z13-(Datos!T13+Datos!AH13))/(Datos!T13+Datos!AH13))," - ")</f>
        <v>0.33595800524934383</v>
      </c>
      <c r="D13" s="855">
        <f>IF(ISNUMBER(
   IF(J_V="SI",(Datos!K13-Datos!U13)/Datos!U13,(Datos!K13+Datos!AA13-(Datos!U13+Datos!AI13))/(Datos!U13+Datos!AI13))
     ),IF(J_V="SI",(Datos!K13-Datos!U13)/Datos!U13,(Datos!K13+Datos!AA13-(Datos!U13+Datos!AI13))/(Datos!U13+Datos!AI13))," - ")</f>
        <v>0.33995327102803741</v>
      </c>
      <c r="E13" s="855">
        <f>IF(ISNUMBER(
   IF(J_V="SI",(Datos!L13-Datos!V13)/Datos!V13,(Datos!L13+Datos!AB13-(Datos!V13+Datos!AJ13))/(Datos!V13+Datos!AJ13))
     ),IF(J_V="SI",(Datos!L13-Datos!V13)/Datos!V13,(Datos!L13+Datos!AB13-(Datos!V13+Datos!AJ13))/(Datos!V13+Datos!AJ13))," - ")</f>
        <v>0.58143074581430743</v>
      </c>
      <c r="F13" s="856">
        <f>IF(ISNUMBER((Datos!M13-Datos!W13)/Datos!W13),(Datos!M13-Datos!W13)/Datos!W13," - ")</f>
        <v>0.56441717791411039</v>
      </c>
      <c r="G13" s="857">
        <f>IF(ISNUMBER((Datos!N13-Datos!X13)/Datos!X13),(Datos!N13-Datos!X13)/Datos!X13," - ")</f>
        <v>0.90588235294117647</v>
      </c>
      <c r="H13" s="857">
        <f>IF(ISNUMBER(((NºAsuntos!G13/NºAsuntos!E13)-Datos!BD13)/Datos!BD13),((NºAsuntos!G13/NºAsuntos!E13)-Datos!BD13)/Datos!BD13," - ")</f>
        <v>2.9905624001615974E-3</v>
      </c>
      <c r="I13" s="857">
        <f>IF(ISNUMBER(((NºAsuntos!I13/NºAsuntos!G13)-Datos!BE13)/Datos!BE13),((NºAsuntos!I13/NºAsuntos!G13)-Datos!BE13)/Datos!BE13," - ")</f>
        <v>0.18021335520230783</v>
      </c>
      <c r="J13" s="857">
        <f>IF(ISNUMBER((('Resol  Asuntos'!D13/NºAsuntos!G13)-Datos!BF13)/Datos!BF13),(('Resol  Asuntos'!D13/NºAsuntos!G13)-Datos!BF13)/Datos!BF13," - ")</f>
        <v>-0.27364448910866052</v>
      </c>
      <c r="K13" s="857">
        <f>IF(ISNUMBER((((NºAsuntos!C13+NºAsuntos!E13)/NºAsuntos!G13)-Datos!BG13)/Datos!BG13),(((NºAsuntos!C13+NºAsuntos!E13)/NºAsuntos!G13)-Datos!BG13)/Datos!BG13," - ")</f>
        <v>7.7268727696205602E-2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0.12328767123287671</v>
      </c>
      <c r="C16" s="456">
        <f>IF(ISNUMBER(
   IF(D_I="SI",(Datos!J16-Datos!T16)/Datos!T16,(Datos!J16+Datos!AD16-(Datos!T16+Datos!AL16))/(Datos!T16+Datos!AL16))
     ),IF(D_I="SI",(Datos!J16-Datos!T16)/Datos!T16,(Datos!J16+Datos!AD16-(Datos!T16+Datos!AL16))/(Datos!T16+Datos!AL16))," - ")</f>
        <v>0.1391304347826087</v>
      </c>
      <c r="D16" s="456">
        <f>IF(ISNUMBER(
   IF(D_I="SI",(Datos!K16-Datos!U16)/Datos!U16,(Datos!K16+Datos!AE16-(Datos!U16+Datos!AM16))/(Datos!U16+Datos!AM16))
     ),IF(D_I="SI",(Datos!K16-Datos!U16)/Datos!U16,(Datos!K16+Datos!AE16-(Datos!U16+Datos!AM16))/(Datos!U16+Datos!AM16))," - ")</f>
        <v>-1.9287833827893175E-2</v>
      </c>
      <c r="E16" s="456">
        <f>IF(ISNUMBER(
   IF(D_I="SI",(Datos!L16-Datos!V16)/Datos!V16,(Datos!L16+Datos!AF16-(Datos!V16+Datos!AN16))/(Datos!V16+Datos!AN16))
     ),IF(D_I="SI",(Datos!L16-Datos!V16)/Datos!V16,(Datos!L16+Datos!AF16-(Datos!V16+Datos!AN16))/(Datos!V16+Datos!AN16))," - ")</f>
        <v>0.76829268292682928</v>
      </c>
      <c r="F16" s="456">
        <f>IF(ISNUMBER((Datos!M16-Datos!W16)/Datos!W16),(Datos!M16-Datos!W16)/Datos!W16," - ")</f>
        <v>9.0909090909090912E-2</v>
      </c>
      <c r="G16" s="457">
        <f>IF(ISNUMBER((Datos!N16-Datos!X16)/Datos!X16),(Datos!N16-Datos!X16)/Datos!X16," - ")</f>
        <v>-8.8888888888888892E-2</v>
      </c>
      <c r="H16" s="455">
        <f>IF(ISNUMBER(((NºAsuntos!G16/NºAsuntos!E16)-Datos!BD16)/Datos!BD16),((NºAsuntos!G16/NºAsuntos!E16)-Datos!BD16)/Datos!BD16," - ")</f>
        <v>-0.13906947244433365</v>
      </c>
      <c r="I16" s="456">
        <f>IF(ISNUMBER(((NºAsuntos!I16/NºAsuntos!G16)-Datos!BE16)/Datos!BE16),((NºAsuntos!I16/NºAsuntos!G16)-Datos!BE16)/Datos!BE16," - ")</f>
        <v>0.80306999741706964</v>
      </c>
      <c r="J16" s="461">
        <f>IF(ISNUMBER((('Resol  Asuntos'!D16/NºAsuntos!G16)-Datos!BF16)/Datos!BF16),(('Resol  Asuntos'!D16/NºAsuntos!G16)-Datos!BF16)/Datos!BF16," - ")</f>
        <v>0.11236418649429238</v>
      </c>
      <c r="K16" s="462">
        <f>IF(ISNUMBER((((NºAsuntos!C16+NºAsuntos!E16)/NºAsuntos!G16)-Datos!BG16)/Datos!BG16),(((NºAsuntos!C16+NºAsuntos!E16)/NºAsuntos!G16)-Datos!BG16)/Datos!BG16," - ")</f>
        <v>0.15871269426488799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0.24285714285714285</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1.2857142857142858</v>
      </c>
      <c r="G17" s="457">
        <f>IF(ISNUMBER((Datos!N17-Datos!X17)/Datos!X17),(Datos!N17-Datos!X17)/Datos!X17," - ")</f>
        <v>-5.4545454545454543E-2</v>
      </c>
      <c r="H17" s="455">
        <f>IF(ISNUMBER(((NºAsuntos!G17/NºAsuntos!E17)-Datos!BD17)/Datos!BD17),((NºAsuntos!G17/NºAsuntos!E17)-Datos!BD17)/Datos!BD17," - ")</f>
        <v>-4.9111807732497355E-2</v>
      </c>
      <c r="I17" s="456">
        <f>IF(ISNUMBER(((NºAsuntos!I17/NºAsuntos!G17)-Datos!BE17)/Datos!BE17),((NºAsuntos!I17/NºAsuntos!G17)-Datos!BE17)/Datos!BE17," - ")</f>
        <v>0.26923076923076927</v>
      </c>
      <c r="J17" s="461">
        <f>IF(ISNUMBER((('Resol  Asuntos'!D17/NºAsuntos!G17)-Datos!BF17)/Datos!BF17),(('Resol  Asuntos'!D17/NºAsuntos!G17)-Datos!BF17)/Datos!BF17," - ")</f>
        <v>0.93406593406593397</v>
      </c>
      <c r="K17" s="462">
        <f>IF(ISNUMBER((((NºAsuntos!C17+NºAsuntos!E17)/NºAsuntos!G17)-Datos!BG17)/Datos!BG17),(((NºAsuntos!C17+NºAsuntos!E17)/NºAsuntos!G17)-Datos!BG17)/Datos!BG17," - ")</f>
        <v>5.7692307692307793E-2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0.13750000000000001</v>
      </c>
      <c r="C18" s="855">
        <f>IF(ISNUMBER(
   IF(Criterios!B14="SI",(Datos!J18-Datos!T18)/Datos!T18,(Datos!J18+Datos!AD18-(Datos!T18+Datos!AL18))/(Datos!T18+Datos!AL18))
     ),IF(Criterios!B14="SI",(Datos!J18-Datos!T18)/Datos!T18,(Datos!J18+Datos!AD18-(Datos!T18+Datos!AL18))/(Datos!T18+Datos!AL18))," - ")</f>
        <v>0.14868421052631578</v>
      </c>
      <c r="D18" s="855">
        <f>IF(ISNUMBER(
   IF(Criterios!B14="SI",(Datos!K18-Datos!U18)/Datos!U18,(Datos!K18+Datos!AE18-(Datos!U18+Datos!AM18))/(Datos!U18+Datos!AM18))
     ),IF(Criterios!B14="SI",(Datos!K18-Datos!U18)/Datos!U18,(Datos!K18+Datos!AE18-(Datos!U18+Datos!AM18))/(Datos!U18+Datos!AM18))," - ")</f>
        <v>-1.3513513513513514E-3</v>
      </c>
      <c r="E18" s="855">
        <f>IF(ISNUMBER(
   IF(Criterios!B14="SI",(Datos!L18-Datos!V18)/Datos!V18,(Datos!L18+Datos!AF18-(Datos!V18+Datos!AN18))/(Datos!V18+Datos!AN18))
     ),IF(Criterios!B14="SI",(Datos!L18-Datos!V18)/Datos!V18,(Datos!L18+Datos!AF18-(Datos!V18+Datos!AN18))/(Datos!V18+Datos!AN18))," - ")</f>
        <v>0.74175824175824179</v>
      </c>
      <c r="F18" s="856">
        <f>IF(ISNUMBER((Datos!M18-Datos!W18)/Datos!W18),(Datos!M18-Datos!W18)/Datos!W18," - ")</f>
        <v>0.1623931623931624</v>
      </c>
      <c r="G18" s="857">
        <f>IF(ISNUMBER((Datos!N18-Datos!X18)/Datos!X18),(Datos!N18-Datos!X18)/Datos!X18," - ")</f>
        <v>-8.478260869565217E-2</v>
      </c>
      <c r="H18" s="857">
        <f>IF(ISNUMBER(((NºAsuntos!G18/NºAsuntos!E18)-Datos!BD18)/Datos!BD18),((NºAsuntos!G18/NºAsuntos!E18)-Datos!BD18)/Datos!BD18," - ")</f>
        <v>-0.13061515123370798</v>
      </c>
      <c r="I18" s="857">
        <f>IF(ISNUMBER(((NºAsuntos!I18/NºAsuntos!G18)-Datos!BE18)/Datos!BE18),((NºAsuntos!I18/NºAsuntos!G18)-Datos!BE18)/Datos!BE18," - ")</f>
        <v>0.7441151541286859</v>
      </c>
      <c r="J18" s="857">
        <f>IF(ISNUMBER((('Resol  Asuntos'!D18/NºAsuntos!G18)-Datos!BF18)/Datos!BF18),(('Resol  Asuntos'!D18/NºAsuntos!G18)-Datos!BF18)/Datos!BF18," - ")</f>
        <v>0.16396608954119099</v>
      </c>
      <c r="K18" s="857">
        <f>IF(ISNUMBER((((NºAsuntos!C18+NºAsuntos!E18)/NºAsuntos!G18)-Datos!BG18)/Datos!BG18),(((NºAsuntos!C18+NºAsuntos!E18)/NºAsuntos!G18)-Datos!BG18)/Datos!BG18," - ")</f>
        <v>0.14829087486026951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0.58301886792452828</v>
      </c>
      <c r="C19" s="802">
        <f>IF(ISNUMBER(
   IF(J_V="SI",(Datos!J19-Datos!T19)/Datos!T19,(Datos!J19+Datos!Z19-(Datos!T19+Datos!AH19))/(Datos!T19+Datos!AH19))
     ),IF(J_V="SI",(Datos!J19-Datos!T19)/Datos!T19,(Datos!J19+Datos!Z19-(Datos!T19+Datos!AH19))/(Datos!T19+Datos!AH19))," - ")</f>
        <v>0.26116657908565422</v>
      </c>
      <c r="D19" s="802">
        <f>IF(ISNUMBER(
   IF(J_V="SI",(Datos!K19-Datos!U19)/Datos!U19,(Datos!K19+Datos!AA19-(Datos!U19+Datos!AI19))/(Datos!U19+Datos!AI19))
     ),IF(J_V="SI",(Datos!K19-Datos!U19)/Datos!U19,(Datos!K19+Datos!AA19-(Datos!U19+Datos!AI19))/(Datos!U19+Datos!AI19))," - ")</f>
        <v>0.18170426065162906</v>
      </c>
      <c r="E19" s="802">
        <f>IF(ISNUMBER(
   IF(J_V="SI",(Datos!L19-Datos!V19)/Datos!V19,(Datos!L19+Datos!AB19-(Datos!V19+Datos!AJ19))/(Datos!V19+Datos!AJ19))
     ),IF(J_V="SI",(Datos!L19-Datos!V19)/Datos!V19,(Datos!L19+Datos!AB19-(Datos!V19+Datos!AJ19))/(Datos!V19+Datos!AJ19))," - ")</f>
        <v>0.61620977353992845</v>
      </c>
      <c r="F19" s="803">
        <f>IF(ISNUMBER((Datos!M19-Datos!W19)/Datos!W19),(Datos!M19-Datos!W19)/Datos!W19," - ")</f>
        <v>0.39642857142857141</v>
      </c>
      <c r="G19" s="804">
        <f>IF(ISNUMBER((Datos!N19-Datos!X19)/Datos!X19),(Datos!N19-Datos!X19)/Datos!X19," - ")</f>
        <v>0.26853146853146853</v>
      </c>
      <c r="H19" s="805">
        <f>IF(ISNUMBER((Tasas!B19-Datos!BD19)/Datos!BD19),(Tasas!B19-Datos!BD19)/Datos!BD19," - ")</f>
        <v>-6.3006996658312456E-2</v>
      </c>
      <c r="I19" s="806">
        <f>IF(ISNUMBER((Tasas!C19-Datos!BE19)/Datos!BE19),(Tasas!C19-Datos!BE19)/Datos!BE19," - ")</f>
        <v>0.36769395470293009</v>
      </c>
      <c r="J19" s="807">
        <f>IF(ISNUMBER((Tasas!D19-Datos!BF19)/Datos!BF19),(Tasas!D19-Datos!BF19)/Datos!BF19," - ")</f>
        <v>-0.12697084754488711</v>
      </c>
      <c r="K19" s="807">
        <f>IF(ISNUMBER((Tasas!E19-Datos!BG19)/Datos!BG19),(Tasas!E19-Datos!BG19)/Datos!BG19," - ")</f>
        <v>0.12657481370288973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NNZdl+qFS/mdUV9d4T3OVLrug6F3G5AvM+LR3PUS0t9nP4IaL1W1u59weWKwz2/m42YlYmdIvjEmX1zHvPRGg==" saltValue="9Lflqdl00H72YKz9krSy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BARCO DE VALDEORRAS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0.25</v>
      </c>
      <c r="D10" s="444">
        <f>IF(ISNUMBER('Resol  Asuntos'!D10/NºAsuntos!G10),'Resol  Asuntos'!D10/NºAsuntos!G10," - ")</f>
        <v>0.16666666666666666</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0.74818721160184576</v>
      </c>
      <c r="C12" s="443">
        <f>IF(ISNUMBER(NºAsuntos!I12/NºAsuntos!G12),NºAsuntos!I12/NºAsuntos!G12," - ")</f>
        <v>0.91277533039647574</v>
      </c>
      <c r="D12" s="444">
        <f>IF(ISNUMBER('Resol  Asuntos'!D12/NºAsuntos!G12),'Resol  Asuntos'!D12/NºAsuntos!G12," - ")</f>
        <v>0.22290748898678414</v>
      </c>
      <c r="E12" s="445">
        <f>IF(ISNUMBER((NºAsuntos!C12+NºAsuntos!E12)/NºAsuntos!G12),(NºAsuntos!C12+NºAsuntos!E12)/NºAsuntos!G12," - ")</f>
        <v>1.9110132158590309</v>
      </c>
      <c r="G12" s="463"/>
    </row>
    <row r="13" spans="1:7" ht="14.25" thickTop="1" thickBot="1">
      <c r="A13" s="848" t="str">
        <f>Datos!A13</f>
        <v>TOTAL</v>
      </c>
      <c r="B13" s="858">
        <f>IF(ISNUMBER(NºAsuntos!G13/NºAsuntos!E13),NºAsuntos!G13/NºAsuntos!E13," - ")</f>
        <v>0.75114603798297319</v>
      </c>
      <c r="C13" s="859">
        <f>IF(ISNUMBER(NºAsuntos!I13/NºAsuntos!G13),NºAsuntos!I13/NºAsuntos!G13," - ")</f>
        <v>0.90584132519616389</v>
      </c>
      <c r="D13" s="860">
        <f>IF(ISNUMBER('Resol  Asuntos'!D13/NºAsuntos!G13),'Resol  Asuntos'!D13/NºAsuntos!G13," - ")</f>
        <v>0.22231909328683522</v>
      </c>
      <c r="E13" s="861">
        <f>IF(ISNUMBER((NºAsuntos!C13+NºAsuntos!E13)/NºAsuntos!G13),(NºAsuntos!C13+NºAsuntos!E13)/NºAsuntos!G13," - ")</f>
        <v>1.9040976460331298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0.84096692111959293</v>
      </c>
      <c r="C16" s="443">
        <f>IF(ISNUMBER(NºAsuntos!I16/NºAsuntos!G16),NºAsuntos!I16/NºAsuntos!G16," - ")</f>
        <v>0.43872919818456885</v>
      </c>
      <c r="D16" s="444">
        <f>IF(ISNUMBER('Resol  Asuntos'!D16/NºAsuntos!G16),'Resol  Asuntos'!D16/NºAsuntos!G16," - ")</f>
        <v>0.18154311649016641</v>
      </c>
      <c r="E16" s="445">
        <f>IF(ISNUMBER((NºAsuntos!C16+NºAsuntos!E16)/NºAsuntos!G16),(NºAsuntos!C16+NºAsuntos!E16)/NºAsuntos!G16," - ")</f>
        <v>1.4372163388804842</v>
      </c>
      <c r="G16" s="463"/>
    </row>
    <row r="17" spans="1:7" ht="13.5" thickBot="1">
      <c r="A17" s="402" t="str">
        <f>Datos!A17</f>
        <v>Jdos. Violencia contra la mujer</v>
      </c>
      <c r="B17" s="442">
        <f>IF(ISNUMBER(NºAsuntos!G17/NºAsuntos!E17),NºAsuntos!G17/NºAsuntos!E17," - ")</f>
        <v>0.89655172413793105</v>
      </c>
      <c r="C17" s="443">
        <f>IF(ISNUMBER(NºAsuntos!I17/NºAsuntos!G17),NºAsuntos!I17/NºAsuntos!G17," - ")</f>
        <v>0.34615384615384615</v>
      </c>
      <c r="D17" s="444">
        <f>IF(ISNUMBER('Resol  Asuntos'!D17/NºAsuntos!G17),'Resol  Asuntos'!D17/NºAsuntos!G17," - ")</f>
        <v>0.20512820512820512</v>
      </c>
      <c r="E17" s="445">
        <f>IF(ISNUMBER((NºAsuntos!C17+NºAsuntos!E17)/NºAsuntos!G17),(NºAsuntos!C17+NºAsuntos!E17)/NºAsuntos!G17," - ")</f>
        <v>1.3461538461538463</v>
      </c>
      <c r="G17" s="463"/>
    </row>
    <row r="18" spans="1:7" ht="14.25" thickTop="1" thickBot="1">
      <c r="A18" s="848" t="str">
        <f>Datos!A18</f>
        <v>TOTAL</v>
      </c>
      <c r="B18" s="858">
        <f>IF(ISNUMBER(NºAsuntos!G18/NºAsuntos!E18),NºAsuntos!G18/NºAsuntos!E18," - ")</f>
        <v>0.84650630011454753</v>
      </c>
      <c r="C18" s="859">
        <f>IF(ISNUMBER(NºAsuntos!I18/NºAsuntos!G18),NºAsuntos!I18/NºAsuntos!G18," - ")</f>
        <v>0.42895805142083898</v>
      </c>
      <c r="D18" s="862">
        <f>IF(ISNUMBER('Resol  Asuntos'!D18/NºAsuntos!G18),'Resol  Asuntos'!D18/NºAsuntos!G18," - ")</f>
        <v>0.18403247631935046</v>
      </c>
      <c r="E18" s="861">
        <f>IF(ISNUMBER((NºAsuntos!C18+NºAsuntos!E18)/NºAsuntos!G18),(NºAsuntos!C18+NºAsuntos!E18)/NºAsuntos!G18," - ")</f>
        <v>1.4276048714479026</v>
      </c>
      <c r="G18" s="463"/>
    </row>
    <row r="19" spans="1:7" ht="15.75" customHeight="1" thickTop="1" thickBot="1">
      <c r="A19" s="793" t="str">
        <f>Datos!A19</f>
        <v>TOTAL JURISDICCIONES</v>
      </c>
      <c r="B19" s="808">
        <f>IF(ISNUMBER(NºAsuntos!G19/NºAsuntos!E19),NºAsuntos!G19/NºAsuntos!E19," - ")</f>
        <v>0.78583333333333338</v>
      </c>
      <c r="C19" s="809">
        <f>IF(ISNUMBER(NºAsuntos!I19/NºAsuntos!G19),NºAsuntos!I19/NºAsuntos!G19," - ")</f>
        <v>0.71898197242841999</v>
      </c>
      <c r="D19" s="810">
        <f>IF(ISNUMBER('Resol  Asuntos'!D19/NºAsuntos!G19),'Resol  Asuntos'!D19/NºAsuntos!G19," - ")</f>
        <v>0.2073170731707317</v>
      </c>
      <c r="E19" s="811">
        <f>IF(ISNUMBER((NºAsuntos!C19+NºAsuntos!E19)/NºAsuntos!G19),(NºAsuntos!C19+NºAsuntos!E19)/NºAsuntos!G19," - ")</f>
        <v>1.7173913043478262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C1Lbkx8IbduX2k5Ds/VlguPmrNWAmjXIeRHPTfuXPqqGNNNpi2Xrt55vYtU2S/s2S5BQTJNRG0/MSL0JlTUEg==" saltValue="TXi9nyEdD9L6V5gfGJkk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BARCO DE VALDEORRAS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2.75</v>
      </c>
      <c r="AN10" s="244">
        <f>IF(ISNUMBER('Resol  Asuntos'!D10/NºAsuntos!G10),'Resol  Asuntos'!D10/NºAsuntos!G10," - ")</f>
        <v>0.16666666666666666</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66</v>
      </c>
      <c r="Y12" s="334">
        <f t="shared" si="0"/>
        <v>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253</v>
      </c>
      <c r="AJ12" s="229" t="str">
        <f>IF(ISNUMBER(Datos!BW12),Datos!BW12," - ")</f>
        <v xml:space="preserve"> - </v>
      </c>
      <c r="AK12" s="228" t="str">
        <f>IF(ISNUMBER(Datos!BX12),Datos!BX12," - ")</f>
        <v xml:space="preserve"> - </v>
      </c>
      <c r="AL12" s="243">
        <f>IF(ISNUMBER(NºAsuntos!G12/NºAsuntos!E12),NºAsuntos!G12/NºAsuntos!E12," - ")</f>
        <v>0.74818721160184576</v>
      </c>
      <c r="AM12" s="260">
        <f>IF(ISNUMBER(((NºAsuntos!I12/NºAsuntos!G12)*11)/factor_trimestre),((NºAsuntos!I12/NºAsuntos!G12)*11)/factor_trimestre," - ")</f>
        <v>10.040528634361234</v>
      </c>
      <c r="AN12" s="244">
        <f>IF(ISNUMBER('Resol  Asuntos'!D12/NºAsuntos!G12),'Resol  Asuntos'!D12/NºAsuntos!G12," - ")</f>
        <v>0.22290748898678414</v>
      </c>
      <c r="AO12" s="245">
        <f>IF(ISNUMBER((NºAsuntos!C12+NºAsuntos!E12)/NºAsuntos!G12),(NºAsuntos!C12+NºAsuntos!E12)/NºAsuntos!G12," - ")</f>
        <v>1.9110132158590309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217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66</v>
      </c>
      <c r="Y13" s="868">
        <f t="shared" si="4"/>
        <v>78</v>
      </c>
      <c r="Z13" s="868">
        <f t="shared" si="4"/>
        <v>0</v>
      </c>
      <c r="AA13" s="868">
        <f t="shared" si="4"/>
        <v>3</v>
      </c>
      <c r="AB13" s="868">
        <f t="shared" si="4"/>
        <v>1100</v>
      </c>
      <c r="AC13" s="868">
        <f t="shared" si="4"/>
        <v>3</v>
      </c>
      <c r="AD13" s="868">
        <f t="shared" si="4"/>
        <v>0</v>
      </c>
      <c r="AE13" s="872">
        <f t="shared" si="4"/>
        <v>0</v>
      </c>
      <c r="AF13" s="865">
        <f t="shared" si="4"/>
        <v>0</v>
      </c>
      <c r="AG13" s="873">
        <f t="shared" si="4"/>
        <v>0</v>
      </c>
      <c r="AH13" s="870">
        <f t="shared" si="4"/>
        <v>0</v>
      </c>
      <c r="AI13" s="865">
        <f t="shared" si="4"/>
        <v>255</v>
      </c>
      <c r="AJ13" s="867">
        <f t="shared" si="4"/>
        <v>0</v>
      </c>
      <c r="AK13" s="870">
        <f>SUBTOTAL(9,AK9:AK12)</f>
        <v>0</v>
      </c>
      <c r="AL13" s="874">
        <f>IF(ISNUMBER(NºAsuntos!G13/NºAsuntos!E13),NºAsuntos!G13/NºAsuntos!E13," - ")</f>
        <v>0.75114603798297319</v>
      </c>
      <c r="AM13" s="874">
        <f>IF(ISNUMBER(((NºAsuntos!I13/NºAsuntos!G13)*11)/factor_trimestre),((NºAsuntos!I13/NºAsuntos!G13)*11)/factor_trimestre," - ")</f>
        <v>9.9642545771578028</v>
      </c>
      <c r="AN13" s="875">
        <f>IF(ISNUMBER('Resol  Asuntos'!D13/NºAsuntos!G13),'Resol  Asuntos'!D13/NºAsuntos!G13," - ")</f>
        <v>0.22231909328683522</v>
      </c>
      <c r="AO13" s="876">
        <f>IF(ISNUMBER((NºAsuntos!C13+NºAsuntos!E13)/NºAsuntos!G13),(NºAsuntos!C13+NºAsuntos!E13)/NºAsuntos!G13," - ")</f>
        <v>1.9040976460331298</v>
      </c>
      <c r="AP13" s="877" t="str">
        <f t="shared" si="2"/>
        <v xml:space="preserve"> - </v>
      </c>
      <c r="AQ13" s="877">
        <f>IF(ISNUMBER((H13-W13+K13)/(F13)),(H13-W13+K13)/(F13)," - ")</f>
        <v>-2.4</v>
      </c>
      <c r="AR13" s="878">
        <f>IF(ISNUMBER((Datos!P13-Datos!Q13)/(Datos!R13-Datos!P13+Datos!Q13)),(Datos!P13-Datos!Q13)/(Datos!R13-Datos!P13+Datos!Q13)," - ")</f>
        <v>0.15911485774499473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165</v>
      </c>
      <c r="G16" s="333">
        <f>IF(ISNUMBER(IF(D_I="SI",Datos!I16,Datos!I16+Datos!AC16)),IF(D_I="SI",Datos!I16,Datos!I16+Datos!AC16)," - ")</f>
        <v>164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661</v>
      </c>
      <c r="X16" s="226">
        <f>IF(ISNUMBER(Datos!Q16),Datos!Q16," - ")</f>
        <v>21</v>
      </c>
      <c r="Y16" s="334">
        <f t="shared" ref="Y16:Y17" si="7">SUM(W16:X16)</f>
        <v>682</v>
      </c>
      <c r="Z16" s="335" t="str">
        <f>IF(ISNUMBER(Datos!CC16),Datos!CC16," - ")</f>
        <v xml:space="preserve"> - </v>
      </c>
      <c r="AA16" s="332">
        <f>IF(ISNUMBER(IF(D_I="SI",Datos!L16,Datos!L16+Datos!AF16)),IF(D_I="SI",Datos!L16,Datos!L16+Datos!AF16)," - ")</f>
        <v>290</v>
      </c>
      <c r="AB16" s="334">
        <f>IF(ISNUMBER(Datos!R16),Datos!R16," - ")</f>
        <v>38</v>
      </c>
      <c r="AC16" s="334">
        <f t="shared" si="6"/>
        <v>328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120</v>
      </c>
      <c r="AJ16" s="231" t="str">
        <f>IF(ISNUMBER(Datos!BW16),Datos!BW16," - ")</f>
        <v xml:space="preserve"> - </v>
      </c>
      <c r="AK16" s="232" t="str">
        <f>IF(ISNUMBER(Datos!BX16),Datos!BX16," - ")</f>
        <v xml:space="preserve"> - </v>
      </c>
      <c r="AL16" s="243">
        <f>IF(ISNUMBER(NºAsuntos!G16/NºAsuntos!E16),NºAsuntos!G16/NºAsuntos!E16," - ")</f>
        <v>0.84096692111959293</v>
      </c>
      <c r="AM16" s="260">
        <f>IF(ISNUMBER(((NºAsuntos!I16/NºAsuntos!G16)*11)/factor_trimestre),((NºAsuntos!I16/NºAsuntos!G16)*11)/factor_trimestre," - ")</f>
        <v>4.8260211800302573</v>
      </c>
      <c r="AN16" s="244">
        <f>IF(ISNUMBER('Resol  Asuntos'!D16/NºAsuntos!G16),'Resol  Asuntos'!D16/NºAsuntos!G16," - ")</f>
        <v>0.18154311649016641</v>
      </c>
      <c r="AO16" s="245">
        <f>IF(ISNUMBER((NºAsuntos!C16+NºAsuntos!E16)/NºAsuntos!G16),(NºAsuntos!C16+NºAsuntos!E16)/NºAsuntos!G16," - ")</f>
        <v>1.4372163388804842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27</v>
      </c>
      <c r="AB17" s="334">
        <f>IF(ISNUMBER(Datos!R17),Datos!R17," - ")</f>
        <v>2</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0.89655172413793105</v>
      </c>
      <c r="AM17" s="260">
        <f>IF(ISNUMBER(((NºAsuntos!I17/NºAsuntos!G17)*11)/factor_trimestre),((NºAsuntos!I17/NºAsuntos!G17)*11)/factor_trimestre," - ")</f>
        <v>3.8076923076923075</v>
      </c>
      <c r="AN17" s="244">
        <f>IF(ISNUMBER('Resol  Asuntos'!D17/NºAsuntos!G17),'Resol  Asuntos'!D17/NºAsuntos!G17," - ")</f>
        <v>0.20512820512820512</v>
      </c>
      <c r="AO17" s="245">
        <f>IF(ISNUMBER((NºAsuntos!C17+NºAsuntos!E17)/NºAsuntos!G17),(NºAsuntos!C17+NºAsuntos!E17)/NºAsuntos!G17," - ")</f>
        <v>1.3461538461538463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165</v>
      </c>
      <c r="G18" s="866">
        <f>SUBTOTAL(9,G15:G17)</f>
        <v>182</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739</v>
      </c>
      <c r="X18" s="867">
        <f t="shared" si="11"/>
        <v>21</v>
      </c>
      <c r="Y18" s="868">
        <f t="shared" si="11"/>
        <v>760</v>
      </c>
      <c r="Z18" s="868">
        <f t="shared" si="11"/>
        <v>0</v>
      </c>
      <c r="AA18" s="868">
        <f t="shared" si="11"/>
        <v>317</v>
      </c>
      <c r="AB18" s="868">
        <f t="shared" si="11"/>
        <v>40</v>
      </c>
      <c r="AC18" s="868">
        <f t="shared" si="11"/>
        <v>357</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0.84650630011454753</v>
      </c>
      <c r="AM18" s="874">
        <f>IF(ISNUMBER(((NºAsuntos!I18/NºAsuntos!G18)*11)/factor_trimestre),((NºAsuntos!I18/NºAsuntos!G18)*11)/factor_trimestre," - ")</f>
        <v>4.7185385656292285</v>
      </c>
      <c r="AN18" s="875">
        <f>IF(ISNUMBER('Resol  Asuntos'!D18/NºAsuntos!G18),'Resol  Asuntos'!D18/NºAsuntos!G18," - ")</f>
        <v>0.18403247631935046</v>
      </c>
      <c r="AO18" s="876">
        <f>IF(ISNUMBER((NºAsuntos!C18+NºAsuntos!E18)/NºAsuntos!G18),(NºAsuntos!C18+NºAsuntos!E18)/NºAsuntos!G18," - ")</f>
        <v>1.4276048714479026</v>
      </c>
      <c r="AP18" s="877" t="str">
        <f t="shared" si="2"/>
        <v xml:space="preserve"> - </v>
      </c>
      <c r="AQ18" s="877">
        <f>IF(ISNUMBER((H18-W18+K18)/(F18)),(H18-W18+K18)/(F18)," - ")</f>
        <v>-4.4787878787878785</v>
      </c>
      <c r="AR18" s="878">
        <f>IF(ISNUMBER((Datos!P18-Datos!Q18)/(Datos!R18-Datos!P18+Datos!Q18)),(Datos!P18-Datos!Q18)/(Datos!R18-Datos!P18+Datos!Q18)," - ")</f>
        <v>2.564102564102564E-2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170</v>
      </c>
      <c r="G19" s="821">
        <f t="shared" si="13"/>
        <v>187</v>
      </c>
      <c r="H19" s="820">
        <f t="shared" si="13"/>
        <v>0</v>
      </c>
      <c r="I19" s="822">
        <f t="shared" si="13"/>
        <v>0</v>
      </c>
      <c r="J19" s="822">
        <f t="shared" si="13"/>
        <v>0</v>
      </c>
      <c r="K19" s="881">
        <f t="shared" si="13"/>
        <v>0</v>
      </c>
      <c r="L19" s="822">
        <f t="shared" si="13"/>
        <v>239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751</v>
      </c>
      <c r="X19" s="821">
        <f t="shared" si="14"/>
        <v>87</v>
      </c>
      <c r="Y19" s="828">
        <f t="shared" si="14"/>
        <v>838</v>
      </c>
      <c r="Z19" s="828">
        <f t="shared" si="14"/>
        <v>0</v>
      </c>
      <c r="AA19" s="828">
        <f t="shared" si="14"/>
        <v>320</v>
      </c>
      <c r="AB19" s="828">
        <f t="shared" si="14"/>
        <v>1140</v>
      </c>
      <c r="AC19" s="828">
        <f t="shared" si="14"/>
        <v>360</v>
      </c>
      <c r="AD19" s="828">
        <f t="shared" si="14"/>
        <v>0</v>
      </c>
      <c r="AE19" s="830">
        <f t="shared" si="14"/>
        <v>0</v>
      </c>
      <c r="AF19" s="831">
        <f t="shared" si="14"/>
        <v>0</v>
      </c>
      <c r="AG19" s="832">
        <f t="shared" si="14"/>
        <v>0</v>
      </c>
      <c r="AH19" s="830">
        <f t="shared" si="14"/>
        <v>0</v>
      </c>
      <c r="AI19" s="820">
        <f t="shared" si="14"/>
        <v>391</v>
      </c>
      <c r="AJ19" s="820">
        <f t="shared" si="14"/>
        <v>0</v>
      </c>
      <c r="AK19" s="830">
        <f t="shared" si="14"/>
        <v>0</v>
      </c>
      <c r="AL19" s="884">
        <f>IF(ISNUMBER(NºAsuntos!G19/NºAsuntos!E19),NºAsuntos!G19/NºAsuntos!E19," - ")</f>
        <v>0.78583333333333338</v>
      </c>
      <c r="AM19" s="885">
        <f>IF(ISNUMBER(((NºAsuntos!I19/NºAsuntos!G19)*11)/factor_trimestre),((NºAsuntos!I19/NºAsuntos!G19)*11)/factor_trimestre," - ")</f>
        <v>7.9088016967126196</v>
      </c>
      <c r="AN19" s="885">
        <f>IF(ISNUMBER('Resol  Asuntos'!D19/NºAsuntos!G19),'Resol  Asuntos'!D19/NºAsuntos!G19," - ")</f>
        <v>0.2073170731707317</v>
      </c>
      <c r="AO19" s="886">
        <f>IF(ISNUMBER((NºAsuntos!C19+NºAsuntos!E19)/NºAsuntos!G19),(NºAsuntos!C19+NºAsuntos!E19)/NºAsuntos!G19," - ")</f>
        <v>1.7173913043478262</v>
      </c>
      <c r="AP19" s="887" t="str">
        <f t="shared" si="2"/>
        <v xml:space="preserve"> - </v>
      </c>
      <c r="AQ19" s="888">
        <f>IF(OR(ISNUMBER(FIND("01",Criterios!A8,1)),ISNUMBER(FIND("02",Criterios!A8,1)),ISNUMBER(FIND("03",Criterios!A8,1)),ISNUMBER(FIND("04",Criterios!A8,1))),(I19-W19+K19)/(F19-K19),(H19-W19+K19)/(F19-K19))</f>
        <v>-4.4176470588235297</v>
      </c>
      <c r="AR19" s="889">
        <f>IF(ISNUMBER((Datos!P19-Datos!Q19)/(Datos!R19-Datos!P19+Datos!Q19)),(Datos!P19-Datos!Q19)/(Datos!R19-Datos!P19+Datos!Q19)," - ")</f>
        <v>0.15384615384615385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92.376043070340131</v>
      </c>
      <c r="G21" s="253">
        <f>IF(ISNUMBER(STDEV(G8:G18)),STDEV(G8:G18),"-")</f>
        <v>90.026107324486716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366.81507602605427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109.79010277191048</v>
      </c>
      <c r="AJ21" s="252">
        <f t="shared" si="18"/>
        <v>0</v>
      </c>
      <c r="AK21" s="254">
        <f t="shared" si="18"/>
        <v>0</v>
      </c>
      <c r="AL21" s="249">
        <f t="shared" si="18"/>
        <v>0.1669104214150369</v>
      </c>
      <c r="AM21" s="250">
        <f t="shared" si="18"/>
        <v>3.1757946806499926</v>
      </c>
      <c r="AN21" s="250">
        <f t="shared" si="18"/>
        <v>2.3261323296841253E-2</v>
      </c>
      <c r="AO21" s="251">
        <f t="shared" si="18"/>
        <v>0.28805358779728024</v>
      </c>
      <c r="AP21" s="291" t="str">
        <f t="shared" si="18"/>
        <v>-</v>
      </c>
      <c r="AQ21" s="292">
        <f t="shared" si="18"/>
        <v>1.4699250057393072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jy+Z/ncmTwSSLXBJDvHvGWOTUJ9XlzpPj3aNuC/RIkogMKJHByElZLE/en9xddViUc+SItE2WS1GfHl5NSZww==" saltValue="y2EK0cWhAysrngOqoAGc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BARCO DE VALDEORRAS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-0.54545454545454541</v>
      </c>
      <c r="E10" s="348">
        <f>IF(ISNUMBER((Datos!J10-Datos!T10)/Datos!T10),(Datos!J10-Datos!T10)/Datos!T10," - ")</f>
        <v>0.66666666666666663</v>
      </c>
      <c r="F10" s="348">
        <f>IF(ISNUMBER((Datos!K10-Datos!U10)/Datos!U10),(Datos!K10-Datos!U10)/Datos!U10," - ")</f>
        <v>0</v>
      </c>
      <c r="G10" s="349">
        <f>IF(ISNUMBER((Datos!L10-Datos!V10)/Datos!V10),(Datos!L10-Datos!V10)/Datos!V10," - ")</f>
        <v>-0.4</v>
      </c>
      <c r="H10" s="230">
        <f>IF(ISNUMBER((Datos!M10-Datos!W10)/Datos!W10),(Datos!M10-Datos!W10)/Datos!W10," - ")</f>
        <v>-0.77777777777777779</v>
      </c>
      <c r="I10" s="350">
        <f>IF(ISNUMBER((Tasas!C10-Datos!BE10)/Datos!BE10),(Tasas!C10-Datos!BE10)/Datos!BE10," - ")</f>
        <v>-0.4</v>
      </c>
      <c r="J10" s="349">
        <f>IF(ISNUMBER((Tasas!D10-Datos!BF10)/Datos!BF10),(Tasas!D10-Datos!BF10)/Datos!BF10," - ")</f>
        <v>-0.77777777777777779</v>
      </c>
      <c r="K10" s="351">
        <f>IF(ISNUMBER((Tasas!E10-Datos!BG10)/Datos!BG10),(Tasas!E10-Datos!BG10)/Datos!BG10," - ")</f>
        <v>-0.11764705882352945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0.6428571428571429</v>
      </c>
      <c r="I12" s="350">
        <f>IF(ISNUMBER((Tasas!C12-Datos!BE12)/Datos!BE12),(Tasas!C12-Datos!BE12)/Datos!BE12," - ")</f>
        <v>0.18156806572795328</v>
      </c>
      <c r="J12" s="349">
        <f>IF(ISNUMBER((Tasas!D12-Datos!BF12)/Datos!BF12),(Tasas!D12-Datos!BF12)/Datos!BF12," - ")</f>
        <v>-0.25638766519823791</v>
      </c>
      <c r="K12" s="351">
        <f>IF(ISNUMBER((Tasas!E12-Datos!BG12)/Datos!BG12),(Tasas!E12-Datos!BG12)/Datos!BG12," - ")</f>
        <v>7.8138472048811525E-2</v>
      </c>
      <c r="M12" t="e">
        <f>IF(Monitorios="SI",Datos!CE12,0)</f>
        <v>#REF!</v>
      </c>
      <c r="N12" t="e">
        <f>IF(Monitorios="SI",Datos!CF12,0)</f>
        <v>#REF!</v>
      </c>
      <c r="O12" t="e">
        <f>IF(Monitorios="SI",Datos!CG12,0)</f>
        <v>#REF!</v>
      </c>
      <c r="P12" t="e">
        <f>IF(Monitorios="SI",Datos!CH12,0)</f>
        <v>#REF!</v>
      </c>
      <c r="Q12">
        <f>IF(J_V="SI",0,Datos!AG12)</f>
        <v>29</v>
      </c>
      <c r="R12">
        <f>IF(J_V="SI",0,Datos!AH12)</f>
        <v>125</v>
      </c>
      <c r="S12">
        <f>IF(J_V="SI",0,Datos!AI12)</f>
        <v>104</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0.56441717791411039</v>
      </c>
      <c r="I13" s="357">
        <f>IF(ISNUMBER((Tasas!C13-Datos!BE13)/Datos!BE13),(Tasas!C13-Datos!BE13)/Datos!BE13," - ")</f>
        <v>0.18021335520230783</v>
      </c>
      <c r="J13" s="355">
        <f>IF(ISNUMBER((Tasas!D13-Datos!BF13)/Datos!BF13),(Tasas!D13-Datos!BF13)/Datos!BF13," - ")</f>
        <v>-0.27364448910866052</v>
      </c>
      <c r="K13" s="358">
        <f>IF(ISNUMBER((Tasas!E13-Datos!BG13)/Datos!BG13),(Tasas!E13-Datos!BG13)/Datos!BG13," - ")</f>
        <v>7.7268727696205602E-2</v>
      </c>
      <c r="M13" t="e">
        <f>IF(Monitorios="SI",Datos!CE13,0)</f>
        <v>#REF!</v>
      </c>
      <c r="N13" t="e">
        <f>IF(Monitorios="SI",Datos!CF13,0)</f>
        <v>#REF!</v>
      </c>
      <c r="O13" t="e">
        <f>IF(Monitorios="SI",Datos!CG13,0)</f>
        <v>#REF!</v>
      </c>
      <c r="P13" t="e">
        <f>IF(Monitorios="SI",Datos!CH13,0)</f>
        <v>#REF!</v>
      </c>
      <c r="Q13">
        <f>IF(J_V="SI",0,Datos!AG13)</f>
        <v>29</v>
      </c>
      <c r="R13">
        <f>IF(J_V="SI",0,Datos!AH13)</f>
        <v>125</v>
      </c>
      <c r="S13">
        <f>IF(J_V="SI",0,Datos!AI13)</f>
        <v>104</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0.12328767123287671</v>
      </c>
      <c r="E16" s="348">
        <f>IF(ISNUMBER(
   IF(D_I="SI",(Datos!J16-Datos!T16)/Datos!T16,(Datos!J16+Datos!AD16-(Datos!T16+Datos!AL16))/(Datos!T16+Datos!AL16))
     ),IF(D_I="SI",(Datos!J16-Datos!T16)/Datos!T16,(Datos!J16+Datos!AD16-(Datos!T16+Datos!AL16))/(Datos!T16+Datos!AL16))," - ")</f>
        <v>0.1391304347826087</v>
      </c>
      <c r="F16" s="348">
        <f>IF(ISNUMBER(
   IF(D_I="SI",(Datos!K16-Datos!U16)/Datos!U16,(Datos!K16+Datos!AE16-(Datos!U16+Datos!AM16))/(Datos!U16+Datos!AM16))
     ),IF(D_I="SI",(Datos!K16-Datos!U16)/Datos!U16,(Datos!K16+Datos!AE16-(Datos!U16+Datos!AM16))/(Datos!U16+Datos!AM16))," - ")</f>
        <v>-1.9287833827893175E-2</v>
      </c>
      <c r="G16" s="349">
        <f>IF(ISNUMBER(
   IF(D_I="SI",(Datos!L16-Datos!V16)/Datos!V16,(Datos!L16+Datos!AF16-(Datos!V16+Datos!AN16))/(Datos!V16+Datos!AN16))
     ),IF(D_I="SI",(Datos!L16-Datos!V16)/Datos!V16,(Datos!L16+Datos!AF16-(Datos!V16+Datos!AN16))/(Datos!V16+Datos!AN16))," - ")</f>
        <v>0.76829268292682928</v>
      </c>
      <c r="H16" s="230">
        <f>IF(ISNUMBER((Datos!M16-Datos!W16)/Datos!W16),(Datos!M16-Datos!W16)/Datos!W16," - ")</f>
        <v>9.0909090909090912E-2</v>
      </c>
      <c r="I16" s="350">
        <f>IF(ISNUMBER((Tasas!C16-Datos!BE16)/Datos!BE16),(Tasas!C16-Datos!BE16)/Datos!BE16," - ")</f>
        <v>0.80306999741706964</v>
      </c>
      <c r="J16" s="349">
        <f>IF(ISNUMBER((Tasas!D16-Datos!BF16)/Datos!BF16),(Tasas!D16-Datos!BF16)/Datos!BF16," - ")</f>
        <v>0.11236418649429238</v>
      </c>
      <c r="K16" s="351">
        <f>IF(ISNUMBER((Tasas!E16-Datos!BG16)/Datos!BG16),(Tasas!E16-Datos!BG16)/Datos!BG16," - ")</f>
        <v>0.15871269426488799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0.24285714285714285</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1.2857142857142858</v>
      </c>
      <c r="I17" s="350">
        <f>IF(ISNUMBER((Tasas!C17-Datos!BE17)/Datos!BE17),(Tasas!C17-Datos!BE17)/Datos!BE17," - ")</f>
        <v>0.26923076923076927</v>
      </c>
      <c r="J17" s="349">
        <f>IF(ISNUMBER((Tasas!D17-Datos!BF17)/Datos!BF17),(Tasas!D17-Datos!BF17)/Datos!BF17," - ")</f>
        <v>0.93406593406593397</v>
      </c>
      <c r="K17" s="351">
        <f>IF(ISNUMBER((Tasas!E17-Datos!BG17)/Datos!BG17),(Tasas!E17-Datos!BG17)/Datos!BG17," - ")</f>
        <v>5.7692307692307793E-2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0.13750000000000001</v>
      </c>
      <c r="E18" s="354">
        <f>IF(ISNUMBER(
   IF(D_I="SI",(Datos!J18-Datos!T18)/Datos!T18,(Datos!J18+Datos!AD18-(Datos!T18+Datos!AL18))/(Datos!T18+Datos!AL18))
     ),IF(D_I="SI",(Datos!J18-Datos!T18)/Datos!T18,(Datos!J18+Datos!AD18-(Datos!T18+Datos!AL18))/(Datos!T18+Datos!AL18))," - ")</f>
        <v>0.14868421052631578</v>
      </c>
      <c r="F18" s="354">
        <f>IF(ISNUMBER(
   IF(D_I="SI",(Datos!K18-Datos!U18)/Datos!U18,(Datos!K18+Datos!AE18-(Datos!U18+Datos!AM18))/(Datos!U18+Datos!AM18))
     ),IF(D_I="SI",(Datos!K18-Datos!U18)/Datos!U18,(Datos!K18+Datos!AE18-(Datos!U18+Datos!AM18))/(Datos!U18+Datos!AM18))," - ")</f>
        <v>-1.3513513513513514E-3</v>
      </c>
      <c r="G18" s="355">
        <f>IF(ISNUMBER(
   IF(D_I="SI",(Datos!L18-Datos!V18)/Datos!V18,(Datos!L18+Datos!AF18-(Datos!V18+Datos!AN18))/(Datos!V18+Datos!AN18))
     ),IF(D_I="SI",(Datos!L18-Datos!V18)/Datos!V18,(Datos!L18+Datos!AF18-(Datos!V18+Datos!AN18))/(Datos!V18+Datos!AN18))," - ")</f>
        <v>0.74175824175824179</v>
      </c>
      <c r="H18" s="356">
        <f>IF(ISNUMBER((Datos!M18-Datos!W18)/Datos!W18),(Datos!M18-Datos!W18)/Datos!W18," - ")</f>
        <v>0.1623931623931624</v>
      </c>
      <c r="I18" s="357">
        <f>IF(ISNUMBER((Tasas!C18-Datos!BE18)/Datos!BE18),(Tasas!C18-Datos!BE18)/Datos!BE18," - ")</f>
        <v>0.7441151541286859</v>
      </c>
      <c r="J18" s="355">
        <f>IF(ISNUMBER((Tasas!D18-Datos!BF18)/Datos!BF18),(Tasas!D18-Datos!BF18)/Datos!BF18," - ")</f>
        <v>0.16396608954119099</v>
      </c>
      <c r="K18" s="358">
        <f>IF(ISNUMBER((Tasas!E18-Datos!BG18)/Datos!BG18),(Tasas!E18-Datos!BG18)/Datos!BG18," - ")</f>
        <v>0.14829087486026951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0.58301886792452828</v>
      </c>
      <c r="E19" s="363">
        <f>IF(ISNUMBER(
   IF(J_V="SI",(Datos!J19-Datos!T19)/Datos!T19,(Datos!J19+Datos!Z19-(Datos!T19+Datos!AH19))/(Datos!T19+Datos!AH19))
     ),IF(J_V="SI",(Datos!J19-Datos!T19)/Datos!T19,(Datos!J19+Datos!Z19-(Datos!T19+Datos!AH19))/(Datos!T19+Datos!AH19))," - ")</f>
        <v>0.26116657908565422</v>
      </c>
      <c r="F19" s="363">
        <f>IF(ISNUMBER(
   IF(J_V="SI",(Datos!K19-Datos!U19)/Datos!U19,(Datos!K19+Datos!AA19-(Datos!U19+Datos!AI19))/(Datos!U19+Datos!AI19))
     ),IF(J_V="SI",(Datos!K19-Datos!U19)/Datos!U19,(Datos!K19+Datos!AA19-(Datos!U19+Datos!AI19))/(Datos!U19+Datos!AI19))," - ")</f>
        <v>0.18170426065162906</v>
      </c>
      <c r="G19" s="364">
        <f>IF(ISNUMBER(
   IF(J_V="SI",(Datos!L19-Datos!V19)/Datos!V19,(Datos!L19+Datos!AB19-(Datos!V19+Datos!AJ19))/(Datos!V19+Datos!AJ19))
     ),IF(J_V="SI",(Datos!L19-Datos!V19)/Datos!V19,(Datos!L19+Datos!AB19-(Datos!V19+Datos!AJ19))/(Datos!V19+Datos!AJ19))," - ")</f>
        <v>0.61620977353992845</v>
      </c>
      <c r="H19" s="365">
        <f>IF(ISNUMBER((Datos!M19-Datos!W19)/Datos!W19),(Datos!M19-Datos!W19)/Datos!W19," - ")</f>
        <v>0.39642857142857141</v>
      </c>
      <c r="I19" s="362">
        <f>IF(ISNUMBER((Tasas!C19-Datos!BE19)/Datos!BE19),(Tasas!C19-Datos!BE19)/Datos!BE19," - ")</f>
        <v>0.36769395470293009</v>
      </c>
      <c r="J19" s="363">
        <f>IF(ISNUMBER((Tasas!D19-Datos!BF19)/Datos!BF19),(Tasas!D19-Datos!BF19)/Datos!BF19," - ")</f>
        <v>-0.12697084754488711</v>
      </c>
      <c r="K19" s="364">
        <f>IF(ISNUMBER((Tasas!E19-Datos!BG19)/Datos!BG19),(Tasas!E19-Datos!BG19)/Datos!BG19," - ")</f>
        <v>0.12657481370288973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0.37115097549315718</v>
      </c>
      <c r="E21" s="278">
        <f t="shared" si="1"/>
        <v>0.24932138881939844</v>
      </c>
      <c r="F21" s="278">
        <f t="shared" si="1"/>
        <v>9.4757639418559109E-2</v>
      </c>
      <c r="G21" s="279">
        <f t="shared" si="1"/>
        <v>0.54845630054890449</v>
      </c>
      <c r="H21" s="285">
        <f t="shared" si="1"/>
        <v>0.68972848705408529</v>
      </c>
      <c r="I21" s="277">
        <f t="shared" si="1"/>
        <v>0.44035444254205469</v>
      </c>
      <c r="J21" s="278">
        <f t="shared" si="1"/>
        <v>0.57549324909916988</v>
      </c>
      <c r="K21" s="279">
        <f t="shared" si="1"/>
        <v>9.9428438348927159E-2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kvK1ZrHITq1VX6NXj4sJZ/OSWLZj5eSdN7BiAeUOrMUIirdHfEe3/zOq5mBFdABAXfyZqFbIe/g4YLHBzwxxQ==" saltValue="6V5lFyb0xcSPLnASyiwT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10</v>
      </c>
      <c r="F10" s="226">
        <f>IF(ISNUMBER(Datos!K10),Datos!K10," - ")</f>
        <v>12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10.040528634361234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10</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165</v>
      </c>
      <c r="D16" s="225">
        <f>IF(ISNUMBER(IF(D_I="SI",Datos!I16,Datos!I16+Datos!AC16)),IF(D_I="SI",Datos!I16,Datos!I16+Datos!AC16)," - ")</f>
        <v>164</v>
      </c>
      <c r="E16" s="226">
        <f>IF(ISNUMBER(IF(D_I="SI",Datos!J16,Datos!J16+Datos!AD16)),IF(D_I="SI",Datos!J16,Datos!J16+Datos!AD16)," - ")</f>
        <v>786</v>
      </c>
      <c r="F16" s="226">
        <f>IF(ISNUMBER(IF(D_I="SI",Datos!K16,Datos!K16+Datos!AE16)),IF(D_I="SI",Datos!K16,Datos!K16+Datos!AE16)," - ")</f>
        <v>661</v>
      </c>
      <c r="G16" s="1034" t="str">
        <f>IF(Datos!E16&lt;&gt;"",Datos!E16,Datos!D16)</f>
        <v>04</v>
      </c>
      <c r="H16" s="227">
        <f>IF(ISNUMBER(IF(D_I="SI",Datos!L16,Datos!L16+Datos!AF16)),IF(D_I="SI",Datos!L16,Datos!L16+Datos!AF16)," - ")</f>
        <v>290</v>
      </c>
      <c r="I16" s="1044" t="str">
        <f>IF(ISNUMBER(Datos!AS16/Datos!BM16),Datos!AS16/Datos!BM16," - ")</f>
        <v xml:space="preserve"> - </v>
      </c>
      <c r="J16" s="1045">
        <f>IF(ISNUMBER(Datos!BY16/Datos!CN16),Datos!BY16/Datos!CN16," - ")</f>
        <v>0</v>
      </c>
      <c r="K16" s="230">
        <f t="shared" si="3"/>
        <v>0.75757575757575757</v>
      </c>
      <c r="L16" s="1025">
        <f>IF(ISNUMBER(NºAsuntos!I16/NºAsuntos!G16),(NºAsuntos!I16/NºAsuntos!G16)*11," - ")</f>
        <v>4.8260211800302573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18</v>
      </c>
      <c r="E17" s="226">
        <f>IF(ISNUMBER(IF(D_I="SI",Datos!J17,Datos!J17+Datos!AD17)),IF(D_I="SI",Datos!J17,Datos!J17+Datos!AD17)," - ")</f>
        <v>87</v>
      </c>
      <c r="F17" s="226">
        <f>IF(ISNUMBER(IF(D_I="SI",Datos!K17,Datos!K17+Datos!AE17)),IF(D_I="SI",Datos!K17,Datos!K17+Datos!AE17)," - ")</f>
        <v>78</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3.8076923076923075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183</v>
      </c>
      <c r="D18" s="1049">
        <f>SUBTOTAL(9,D15:D17)</f>
        <v>182</v>
      </c>
      <c r="E18" s="1050">
        <f>SUBTOTAL(9,E15:E17)</f>
        <v>873</v>
      </c>
      <c r="F18" s="1050">
        <f>SUBTOTAL(9,F15:F17)</f>
        <v>739</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188</v>
      </c>
      <c r="D19" s="1071">
        <f>SUBTOTAL(9,D9:D18)</f>
        <v>187</v>
      </c>
      <c r="E19" s="1072">
        <f>SUBTOTAL(9,E9:E18)</f>
        <v>883</v>
      </c>
      <c r="F19" s="1072">
        <f>SUBTOTAL(9,F9:F18)</f>
        <v>751</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IFynjcIkmaDkPcOlplSRTUWssJZF0lVpbki/bJlDS2i6uKm6Ncj8wJQlE0EeOQMhiL9LVcAphzVr5Ue0liPFQ==" saltValue="vPJaArneudQPj6RjghwW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iufsk3ULYzn5Fl8660D74K8cpEmtBBeIDuAt/1D/sbc374EXUx6Tew5DoVtdvudfcSMlBHkdLZqB/W6iY2GmQ==" saltValue="RpASJkqTc3CvLqfo2H8w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10</v>
      </c>
      <c r="K10" s="181">
        <v>12</v>
      </c>
      <c r="L10" s="181">
        <v>3</v>
      </c>
      <c r="M10" s="181">
        <v>2</v>
      </c>
      <c r="N10" s="181">
        <v>0</v>
      </c>
      <c r="O10" s="181">
        <v>0</v>
      </c>
      <c r="P10" s="181">
        <v>0</v>
      </c>
      <c r="Q10" s="181">
        <v>0</v>
      </c>
      <c r="R10" s="181">
        <v>0</v>
      </c>
      <c r="S10" s="181">
        <v>11</v>
      </c>
      <c r="T10" s="181">
        <v>6</v>
      </c>
      <c r="U10" s="181">
        <v>12</v>
      </c>
      <c r="V10" s="181">
        <v>5</v>
      </c>
      <c r="W10" s="181">
        <v>9</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6</v>
      </c>
      <c r="BA10" s="129">
        <f t="shared" si="0"/>
        <v>12</v>
      </c>
      <c r="BB10" s="129">
        <f t="shared" si="0"/>
        <v>5</v>
      </c>
      <c r="BC10" s="125">
        <f t="shared" si="0"/>
        <v>9</v>
      </c>
      <c r="BD10" s="126">
        <f>IF(ISNUMBER(BA10/AZ10),BA10/AZ10," - ")</f>
        <v>2</v>
      </c>
      <c r="BE10" s="127">
        <f>IF(ISNUMBER(BB10/BA10),BB10/BA10, " - ")</f>
        <v>0.41666666666666669</v>
      </c>
      <c r="BF10" s="127">
        <f>IF(ISNUMBER(BC10/BA10),BC10/BA10, " - ")</f>
        <v>0.75</v>
      </c>
      <c r="BG10" s="196">
        <f>IF(ISNUMBER((AY10+AZ10)/BA10),(AY10+AZ10)/BA10," - ")</f>
        <v>1.4166666666666667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602</v>
      </c>
      <c r="J12" s="183">
        <v>1377</v>
      </c>
      <c r="K12" s="183">
        <v>1019</v>
      </c>
      <c r="L12" s="183">
        <v>962</v>
      </c>
      <c r="M12" s="183">
        <v>253</v>
      </c>
      <c r="N12" s="183">
        <v>486</v>
      </c>
      <c r="O12" s="181">
        <v>253</v>
      </c>
      <c r="P12" s="183">
        <v>217</v>
      </c>
      <c r="Q12" s="183">
        <v>66</v>
      </c>
      <c r="R12" s="183">
        <v>1100</v>
      </c>
      <c r="S12" s="183">
        <v>330</v>
      </c>
      <c r="T12" s="183">
        <v>1012</v>
      </c>
      <c r="U12" s="183">
        <v>740</v>
      </c>
      <c r="V12" s="183">
        <v>602</v>
      </c>
      <c r="W12" s="183">
        <v>154</v>
      </c>
      <c r="X12" s="189">
        <v>253</v>
      </c>
      <c r="Y12" s="191">
        <v>50</v>
      </c>
      <c r="Z12" s="181">
        <v>140</v>
      </c>
      <c r="AA12" s="181">
        <v>116</v>
      </c>
      <c r="AB12" s="181">
        <v>74</v>
      </c>
      <c r="AC12" s="183">
        <v>0</v>
      </c>
      <c r="AD12" s="183">
        <v>0</v>
      </c>
      <c r="AE12" s="183">
        <v>0</v>
      </c>
      <c r="AF12" s="189">
        <v>0</v>
      </c>
      <c r="AG12" s="202">
        <v>29</v>
      </c>
      <c r="AH12" s="183">
        <v>125</v>
      </c>
      <c r="AI12" s="183">
        <v>104</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359</v>
      </c>
      <c r="AZ12" s="127">
        <f t="shared" si="1"/>
        <v>1137</v>
      </c>
      <c r="BA12" s="127">
        <f t="shared" si="1"/>
        <v>844</v>
      </c>
      <c r="BB12" s="127">
        <f t="shared" si="1"/>
        <v>652</v>
      </c>
      <c r="BC12" s="125">
        <f>IF(ISNUMBER(X12),X12," - ")</f>
        <v>253</v>
      </c>
      <c r="BD12" s="126">
        <f t="shared" si="2"/>
        <v>0.74230430958663152</v>
      </c>
      <c r="BE12" s="127">
        <f t="shared" si="3"/>
        <v>0.77251184834123221</v>
      </c>
      <c r="BF12" s="127">
        <f t="shared" si="4"/>
        <v>0.29976303317535546</v>
      </c>
      <c r="BG12" s="196">
        <f t="shared" si="5"/>
        <v>1.7725118483412323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607</v>
      </c>
      <c r="J13" s="184">
        <f t="shared" si="6"/>
        <v>1387</v>
      </c>
      <c r="K13" s="184">
        <f t="shared" si="6"/>
        <v>1031</v>
      </c>
      <c r="L13" s="184">
        <f t="shared" si="6"/>
        <v>965</v>
      </c>
      <c r="M13" s="184">
        <f t="shared" si="6"/>
        <v>255</v>
      </c>
      <c r="N13" s="184">
        <f t="shared" si="6"/>
        <v>486</v>
      </c>
      <c r="O13" s="184">
        <f t="shared" si="6"/>
        <v>253</v>
      </c>
      <c r="P13" s="184">
        <f t="shared" si="6"/>
        <v>217</v>
      </c>
      <c r="Q13" s="184">
        <f t="shared" si="6"/>
        <v>66</v>
      </c>
      <c r="R13" s="184">
        <f t="shared" si="6"/>
        <v>1100</v>
      </c>
      <c r="S13" s="184">
        <f t="shared" si="6"/>
        <v>341</v>
      </c>
      <c r="T13" s="184">
        <f t="shared" si="6"/>
        <v>1018</v>
      </c>
      <c r="U13" s="184">
        <f t="shared" si="6"/>
        <v>752</v>
      </c>
      <c r="V13" s="184">
        <f t="shared" si="6"/>
        <v>607</v>
      </c>
      <c r="W13" s="184">
        <f t="shared" si="6"/>
        <v>163</v>
      </c>
      <c r="X13" s="184">
        <f t="shared" si="6"/>
        <v>255</v>
      </c>
      <c r="Y13" s="184">
        <f t="shared" si="6"/>
        <v>50</v>
      </c>
      <c r="Z13" s="184">
        <f t="shared" si="6"/>
        <v>140</v>
      </c>
      <c r="AA13" s="184">
        <f t="shared" si="6"/>
        <v>116</v>
      </c>
      <c r="AB13" s="184">
        <f t="shared" si="6"/>
        <v>74</v>
      </c>
      <c r="AC13" s="184">
        <f t="shared" si="6"/>
        <v>0</v>
      </c>
      <c r="AD13" s="184">
        <f t="shared" si="6"/>
        <v>0</v>
      </c>
      <c r="AE13" s="184">
        <f t="shared" si="6"/>
        <v>0</v>
      </c>
      <c r="AF13" s="184">
        <f>SUBTOTAL(9,AF9:AF12)</f>
        <v>0</v>
      </c>
      <c r="AG13" s="184">
        <f t="shared" ref="AG13:AT13" si="7">SUBTOTAL(9,AG8:AG12)</f>
        <v>29</v>
      </c>
      <c r="AH13" s="184">
        <f t="shared" si="7"/>
        <v>125</v>
      </c>
      <c r="AI13" s="184">
        <f t="shared" si="7"/>
        <v>104</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370</v>
      </c>
      <c r="AZ13" s="184">
        <f>SUBTOTAL(9,AZ8:AZ12)</f>
        <v>1143</v>
      </c>
      <c r="BA13" s="184">
        <f>SUBTOTAL(9,BA8:BA12)</f>
        <v>856</v>
      </c>
      <c r="BB13" s="184">
        <f>SUBTOTAL(9,BB8:BB12)</f>
        <v>657</v>
      </c>
      <c r="BC13" s="184">
        <f>SUBTOTAL(9,BC8:BC12)</f>
        <v>262</v>
      </c>
      <c r="BD13" s="205">
        <f>IF(ISNUMBER(BA13/AZ13),BA13/AZ13," - ")</f>
        <v>0.74890638670166232</v>
      </c>
      <c r="BE13" s="206">
        <f>IF(ISNUMBER(BB13/BA13),BB13/BA13, " - ")</f>
        <v>0.76752336448598135</v>
      </c>
      <c r="BF13" s="206">
        <f>IF(ISNUMBER(BC13/BA13),BC13/BA13, " - ")</f>
        <v>0.30607476635514019</v>
      </c>
      <c r="BG13" s="207">
        <f>IF(ISNUMBER((AY13+AZ13)/BA13),(AY13+AZ13)/BA13," - ")</f>
        <v>1.7675233644859814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164</v>
      </c>
      <c r="J16" s="183">
        <v>786</v>
      </c>
      <c r="K16" s="183">
        <v>661</v>
      </c>
      <c r="L16" s="183">
        <v>290</v>
      </c>
      <c r="M16" s="183">
        <v>120</v>
      </c>
      <c r="N16" s="183">
        <v>369</v>
      </c>
      <c r="O16" s="181">
        <v>0</v>
      </c>
      <c r="P16" s="183">
        <v>22</v>
      </c>
      <c r="Q16" s="183">
        <v>21</v>
      </c>
      <c r="R16" s="183">
        <v>38</v>
      </c>
      <c r="S16" s="183">
        <v>146</v>
      </c>
      <c r="T16" s="183">
        <v>690</v>
      </c>
      <c r="U16" s="183">
        <v>674</v>
      </c>
      <c r="V16" s="183">
        <v>164</v>
      </c>
      <c r="W16" s="183">
        <v>110</v>
      </c>
      <c r="X16" s="189">
        <v>405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146</v>
      </c>
      <c r="AZ16" s="127">
        <f t="shared" si="9"/>
        <v>690</v>
      </c>
      <c r="BA16" s="127">
        <f t="shared" si="9"/>
        <v>674</v>
      </c>
      <c r="BB16" s="127">
        <f t="shared" si="9"/>
        <v>164</v>
      </c>
      <c r="BC16" s="125">
        <f>IF(ISNUMBER(W16),W16," - ")</f>
        <v>110</v>
      </c>
      <c r="BD16" s="126">
        <f t="shared" ref="BD16" si="11">IF(ISNUMBER(BA16/AZ16),BA16/AZ16," - ")</f>
        <v>0.97681159420289854</v>
      </c>
      <c r="BE16" s="127">
        <f t="shared" ref="BE16" si="12">IF(ISNUMBER(BB16/BA16),BB16/BA16, " - ")</f>
        <v>0.24332344213649851</v>
      </c>
      <c r="BF16" s="127">
        <f t="shared" ref="BF16" si="13">IF(ISNUMBER(BC16/BA16),BC16/BA16, " - ")</f>
        <v>0.16320474777448071</v>
      </c>
      <c r="BG16" s="196">
        <f t="shared" si="10"/>
        <v>1.2403560830860534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87</v>
      </c>
      <c r="K17" s="183">
        <v>78</v>
      </c>
      <c r="L17" s="183">
        <v>27</v>
      </c>
      <c r="M17" s="183">
        <v>16</v>
      </c>
      <c r="N17" s="183">
        <v>52</v>
      </c>
      <c r="O17" s="183">
        <v>0</v>
      </c>
      <c r="P17" s="183">
        <v>0</v>
      </c>
      <c r="Q17" s="183">
        <v>0</v>
      </c>
      <c r="R17" s="183">
        <v>2</v>
      </c>
      <c r="S17" s="183">
        <v>14</v>
      </c>
      <c r="T17" s="183">
        <v>70</v>
      </c>
      <c r="U17" s="183">
        <v>66</v>
      </c>
      <c r="V17" s="183">
        <v>18</v>
      </c>
      <c r="W17" s="183">
        <v>7</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70</v>
      </c>
      <c r="BA17" s="129">
        <f t="shared" si="14"/>
        <v>66</v>
      </c>
      <c r="BB17" s="129">
        <f t="shared" si="14"/>
        <v>18</v>
      </c>
      <c r="BC17" s="125">
        <f>IF(ISNUMBER(W17),W17," - ")</f>
        <v>7</v>
      </c>
      <c r="BD17" s="126">
        <f>IF(ISNUMBER(BA17/AZ17),BA17/AZ17," - ")</f>
        <v>0.94285714285714284</v>
      </c>
      <c r="BE17" s="127">
        <f>IF(ISNUMBER(BB17/BA17),BB17/BA17, " - ")</f>
        <v>0.27272727272727271</v>
      </c>
      <c r="BF17" s="127">
        <f>IF(ISNUMBER(BC17/BA17),BC17/BA17, " - ")</f>
        <v>0.10606060606060606</v>
      </c>
      <c r="BG17" s="196">
        <f>IF(ISNUMBER((AY17+AZ17)/BA17),(AY17+AZ17)/BA17," - ")</f>
        <v>1.2727272727272727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v>
      </c>
      <c r="J18" s="184">
        <f t="shared" si="15"/>
        <v>873</v>
      </c>
      <c r="K18" s="184">
        <f t="shared" si="15"/>
        <v>739</v>
      </c>
      <c r="L18" s="184">
        <f t="shared" si="15"/>
        <v>317</v>
      </c>
      <c r="M18" s="184">
        <f t="shared" si="15"/>
        <v>136</v>
      </c>
      <c r="N18" s="184">
        <f t="shared" si="15"/>
        <v>421</v>
      </c>
      <c r="O18" s="184">
        <f t="shared" si="15"/>
        <v>0</v>
      </c>
      <c r="P18" s="184">
        <f t="shared" si="15"/>
        <v>22</v>
      </c>
      <c r="Q18" s="184">
        <f t="shared" si="15"/>
        <v>21</v>
      </c>
      <c r="R18" s="184">
        <f t="shared" si="15"/>
        <v>40</v>
      </c>
      <c r="S18" s="184">
        <f t="shared" si="15"/>
        <v>160</v>
      </c>
      <c r="T18" s="184">
        <f t="shared" si="15"/>
        <v>760</v>
      </c>
      <c r="U18" s="184">
        <f t="shared" si="15"/>
        <v>740</v>
      </c>
      <c r="V18" s="184">
        <f t="shared" si="15"/>
        <v>182</v>
      </c>
      <c r="W18" s="184">
        <f t="shared" si="15"/>
        <v>117</v>
      </c>
      <c r="X18" s="184">
        <f t="shared" si="15"/>
        <v>460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160</v>
      </c>
      <c r="AZ18" s="184">
        <f>SUBTOTAL(9,AZ14:AZ17)</f>
        <v>760</v>
      </c>
      <c r="BA18" s="184">
        <f>SUBTOTAL(9,BA14:BA17)</f>
        <v>740</v>
      </c>
      <c r="BB18" s="184">
        <f>SUBTOTAL(9,BB14:BB17)</f>
        <v>182</v>
      </c>
      <c r="BC18" s="184">
        <f>SUBTOTAL(9,BC14:BC17)</f>
        <v>117</v>
      </c>
      <c r="BD18" s="205">
        <f>IF(ISNUMBER(BA18/AZ18),BA18/AZ18," - ")</f>
        <v>0.97368421052631582</v>
      </c>
      <c r="BE18" s="206">
        <f>IF(ISNUMBER(BB18/BA18),BB18/BA18, " - ")</f>
        <v>0.24594594594594596</v>
      </c>
      <c r="BF18" s="206">
        <f>IF(ISNUMBER(BC18/BA18),BC18/BA18, " - ")</f>
        <v>0.1581081081081081</v>
      </c>
      <c r="BG18" s="207">
        <f>IF(ISNUMBER((AY18+AZ18)/BA18),(AY18+AZ18)/BA18," - ")</f>
        <v>1.2432432432432432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789</v>
      </c>
      <c r="J19" s="134">
        <f t="shared" si="18"/>
        <v>2260</v>
      </c>
      <c r="K19" s="134">
        <f t="shared" si="18"/>
        <v>1770</v>
      </c>
      <c r="L19" s="134">
        <f t="shared" si="18"/>
        <v>1282</v>
      </c>
      <c r="M19" s="134">
        <f t="shared" si="18"/>
        <v>391</v>
      </c>
      <c r="N19" s="134">
        <f t="shared" si="18"/>
        <v>907</v>
      </c>
      <c r="O19" s="134">
        <f t="shared" si="18"/>
        <v>253</v>
      </c>
      <c r="P19" s="134">
        <f t="shared" si="18"/>
        <v>239</v>
      </c>
      <c r="Q19" s="134">
        <f t="shared" si="18"/>
        <v>87</v>
      </c>
      <c r="R19" s="134">
        <f t="shared" si="18"/>
        <v>1140</v>
      </c>
      <c r="S19" s="134">
        <f t="shared" si="18"/>
        <v>501</v>
      </c>
      <c r="T19" s="134">
        <f t="shared" si="18"/>
        <v>1778</v>
      </c>
      <c r="U19" s="134">
        <f t="shared" si="18"/>
        <v>1492</v>
      </c>
      <c r="V19" s="134">
        <f t="shared" si="18"/>
        <v>789</v>
      </c>
      <c r="W19" s="134">
        <f t="shared" si="18"/>
        <v>280</v>
      </c>
      <c r="X19" s="134">
        <f t="shared" si="18"/>
        <v>715</v>
      </c>
      <c r="Y19" s="134">
        <f t="shared" si="18"/>
        <v>50</v>
      </c>
      <c r="Z19" s="134">
        <f t="shared" si="18"/>
        <v>140</v>
      </c>
      <c r="AA19" s="134">
        <f t="shared" si="18"/>
        <v>116</v>
      </c>
      <c r="AB19" s="134">
        <f t="shared" si="18"/>
        <v>74</v>
      </c>
      <c r="AC19" s="134">
        <f t="shared" si="18"/>
        <v>0</v>
      </c>
      <c r="AD19" s="134">
        <f t="shared" si="18"/>
        <v>0</v>
      </c>
      <c r="AE19" s="134">
        <f t="shared" si="18"/>
        <v>0</v>
      </c>
      <c r="AF19" s="134">
        <f t="shared" si="18"/>
        <v>0</v>
      </c>
      <c r="AG19" s="134">
        <f t="shared" si="18"/>
        <v>29</v>
      </c>
      <c r="AH19" s="134">
        <f t="shared" si="18"/>
        <v>125</v>
      </c>
      <c r="AI19" s="134">
        <f t="shared" si="18"/>
        <v>104</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530</v>
      </c>
      <c r="AZ19" s="134">
        <f>SUBTOTAL(9,AZ9:AZ18)</f>
        <v>1903</v>
      </c>
      <c r="BA19" s="134">
        <f>SUBTOTAL(9,BA9:BA18)</f>
        <v>1596</v>
      </c>
      <c r="BB19" s="134">
        <f>SUBTOTAL(9,BB9:BB18)</f>
        <v>839</v>
      </c>
      <c r="BC19" s="135">
        <f>SUBTOTAL(9,BC9:BC18)</f>
        <v>379</v>
      </c>
      <c r="BD19" s="213">
        <f>IF(ISNUMBER(BA19/AZ19),BA19/AZ19," - ")</f>
        <v>0.83867577509196012</v>
      </c>
      <c r="BE19" s="210">
        <f>IF(ISNUMBER(BB19/BA19),BB19/BA19, " - ")</f>
        <v>0.52568922305764409</v>
      </c>
      <c r="BF19" s="210">
        <f>IF(ISNUMBER(BC19/BA19),BC19/BA19, " - ")</f>
        <v>0.237468671679198</v>
      </c>
      <c r="BG19" s="135">
        <f>IF(ISNUMBER((AY19+AZ19)/BA19),(AY19+AZ19)/BA19," - ")</f>
        <v>1.5244360902255638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46i1Da/w7NIaZbORmprQ7kH1JwiTt48b66TaeL63zek0O0TfX4UXr1scv1i74VHvLP0THHt8AZoeFnC+V0sJw==" saltValue="NBVujfqUAUVIb9OX2fZ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H/yFWChuLXwy61YczhfqqCjP1WUdgz0h5ipzzsyElDXJktqO6E56AKHaoKIM1ec5j9y0VnJkUJv4ius2H55PA==" saltValue="VfcrXtys6CiaolRK/Skp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BARCO DE VALDEORRAS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140</v>
      </c>
      <c r="O12" s="334"/>
      <c r="P12" s="334"/>
      <c r="Q12" s="226">
        <f>IF(ISNUMBER(Datos!P12),Datos!P12,0)</f>
        <v>217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1100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253</v>
      </c>
      <c r="BD12" s="229">
        <f>IF(ISNUMBER(Datos!N12),Datos!N12," - ")</f>
        <v>486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0.74818721160184576</v>
      </c>
      <c r="BH12" s="260">
        <f>IF(ISNUMBER(((IF(J_V="SI",Datos!L12/Datos!K12,(Datos!L12+Datos!AB12)/(Datos!K12+Datos!AA12)))*11)/factor_trimestre),((IF(J_V="SI",Datos!L12/Datos!K12,(Datos!L12+Datos!AB12)/(Datos!K12+Datos!AA12)))*11)/factor_trimestre," - ")</f>
        <v>10.040528634361234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0.15911485774499473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140</v>
      </c>
      <c r="O13" s="900">
        <f t="shared" si="0"/>
        <v>0</v>
      </c>
      <c r="P13" s="900">
        <f t="shared" si="0"/>
        <v>0</v>
      </c>
      <c r="Q13" s="899">
        <f t="shared" si="0"/>
        <v>217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66</v>
      </c>
      <c r="AD13" s="899">
        <f t="shared" si="1"/>
        <v>0</v>
      </c>
      <c r="AE13" s="899">
        <f t="shared" si="1"/>
        <v>0</v>
      </c>
      <c r="AF13" s="899">
        <f t="shared" si="1"/>
        <v>3</v>
      </c>
      <c r="AG13" s="899">
        <f t="shared" si="1"/>
        <v>0</v>
      </c>
      <c r="AH13" s="899">
        <f t="shared" si="1"/>
        <v>74</v>
      </c>
      <c r="AI13" s="899">
        <f t="shared" si="1"/>
        <v>0</v>
      </c>
      <c r="AJ13" s="899">
        <f t="shared" si="1"/>
        <v>0</v>
      </c>
      <c r="AK13" s="899">
        <f t="shared" si="1"/>
        <v>0</v>
      </c>
      <c r="AL13" s="899">
        <f t="shared" si="1"/>
        <v>0</v>
      </c>
      <c r="AM13" s="899">
        <f t="shared" si="1"/>
        <v>1100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255</v>
      </c>
      <c r="BD13" s="899">
        <f t="shared" si="1"/>
        <v>486</v>
      </c>
      <c r="BE13" s="899">
        <f t="shared" si="1"/>
        <v>0</v>
      </c>
      <c r="BF13" s="899">
        <f t="shared" si="1"/>
        <v>0</v>
      </c>
      <c r="BG13" s="899">
        <f>IF(ISNUMBER(Datos!K13/Datos!J13),Datos!K13/Datos!J13," - ")</f>
        <v>0.74333093006488826</v>
      </c>
      <c r="BH13" s="903">
        <f>IF(ISNUMBER(((Datos!L13/Datos!K13)*11)/factor_trimestre),((Datos!L13/Datos!K13)*11)/factor_trimestre," - ")</f>
        <v>10.295829291949563</v>
      </c>
      <c r="BI13" s="899">
        <f>IF(ISNUMBER('Resol  Asuntos'!D13/NºAsuntos!G13),'Resol  Asuntos'!D13/NºAsuntos!G13," - ")</f>
        <v>0.22231909328683522</v>
      </c>
      <c r="BJ13" s="899" t="str">
        <f>IF(ISNUMBER(Datos!CI13/Datos!CJ13),Datos!CI13/Datos!CJ13," - ")</f>
        <v xml:space="preserve"> - </v>
      </c>
      <c r="BK13" s="899">
        <f>SUBTOTAL(9,BK8:BK12)</f>
        <v>0</v>
      </c>
      <c r="BL13" s="899">
        <f>IF(ISNUMBER((I13-AB13+L13)/(F13)),(I13-AB13+L13)/(F13)," - ")</f>
        <v>-2.4</v>
      </c>
      <c r="BM13" s="904">
        <f>SUBTOTAL(9,BM9:BM12)</f>
        <v>0.15911485774499473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165</v>
      </c>
      <c r="G16" s="598">
        <f>IF(ISNUMBER(IF(D_I="SI",Datos!I16,Datos!I16+Datos!AC16)),IF(D_I="SI",Datos!I16,Datos!I16+Datos!AC16)," - ")</f>
        <v>164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661</v>
      </c>
      <c r="AC16" s="226">
        <f>IF(ISNUMBER(Datos!Q16),Datos!Q16," - ")</f>
        <v>21</v>
      </c>
      <c r="AD16" s="334"/>
      <c r="AE16" s="484"/>
      <c r="AF16" s="596">
        <f>IF(ISNUMBER(IF(D_I="SI",Datos!L16,Datos!L16+Datos!AF16)),IF(D_I="SI",Datos!L16,Datos!L16+Datos!AF16)," - ")</f>
        <v>290</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120</v>
      </c>
      <c r="BD16" s="229">
        <f>IF(ISNUMBER(Datos!N16),Datos!N16," - ")</f>
        <v>369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0.84096692111959293</v>
      </c>
      <c r="BH16" s="260">
        <f>IF(ISNUMBER(((IF(D_I="SI",Datos!L16/Datos!K16,(Datos!L16+Datos!AF16)/(Datos!K16+Datos!AE16)))*11)/factor_trimestre),((IF(D_I="SI",Datos!L16/Datos!K16,(Datos!L16+Datos!AF16)/(Datos!K16+Datos!AE16)))*11)/factor_trimestre," - ")</f>
        <v>4.8260211800302573</v>
      </c>
      <c r="BI16" s="243">
        <f>IF(ISNUMBER('Resol  Asuntos'!D16/NºAsuntos!G16),'Resol  Asuntos'!D16/NºAsuntos!G16," - ")</f>
        <v>0.18154311649016641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27</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0.89655172413793105</v>
      </c>
      <c r="BH17" s="260">
        <f>IF(ISNUMBER(((IF(D_I="SI",Datos!L17/Datos!K17,(Datos!L17+Datos!AF17)/(Datos!K17+Datos!AE17)))*11)/factor_trimestre),((IF(D_I="SI",Datos!L17/Datos!K17,(Datos!L17+Datos!AF17)/(Datos!K17+Datos!AE17)))*11)/factor_trimestre," - ")</f>
        <v>3.8076923076923075</v>
      </c>
      <c r="BI17" s="243">
        <f>IF(ISNUMBER('Resol  Asuntos'!D17/NºAsuntos!G17),'Resol  Asuntos'!D17/NºAsuntos!G17," - ")</f>
        <v>0.20512820512820512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165</v>
      </c>
      <c r="G18" s="898">
        <f>SUBTOTAL(9,G15:G17)</f>
        <v>182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739</v>
      </c>
      <c r="AC18" s="899">
        <f t="shared" si="4"/>
        <v>21</v>
      </c>
      <c r="AD18" s="899">
        <f t="shared" si="4"/>
        <v>0</v>
      </c>
      <c r="AE18" s="899">
        <f t="shared" si="4"/>
        <v>0</v>
      </c>
      <c r="AF18" s="899">
        <f t="shared" si="4"/>
        <v>317</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421</v>
      </c>
      <c r="BE18" s="899">
        <f t="shared" si="4"/>
        <v>0</v>
      </c>
      <c r="BF18" s="899">
        <f t="shared" si="4"/>
        <v>0</v>
      </c>
      <c r="BG18" s="899">
        <f>IF(ISNUMBER(Datos!K18/Datos!J18),Datos!K18/Datos!J18," - ")</f>
        <v>0.84650630011454753</v>
      </c>
      <c r="BH18" s="903">
        <f>IF(ISNUMBER(((Datos!L18/Datos!K18)*11)/factor_trimestre),((Datos!L18/Datos!K18)*11)/factor_trimestre," - ")</f>
        <v>4.7185385656292285</v>
      </c>
      <c r="BI18" s="899">
        <f>SUBTOTAL(9,BI15:BI17)</f>
        <v>0.38667132161837153</v>
      </c>
      <c r="BJ18" s="899">
        <f>SUBTOTAL(9,BJ15:BJ17)</f>
        <v>0</v>
      </c>
      <c r="BK18" s="899">
        <f>SUBTOTAL(9,BK15:BK17)</f>
        <v>0</v>
      </c>
      <c r="BL18" s="899">
        <f>IF(ISNUMBER((I18-AB18+L18)/(F18)),(I18-AB18+L18)/(F18)," - ")</f>
        <v>-4.4787878787878785</v>
      </c>
      <c r="BM18" s="905">
        <f>IF(ISNUMBER((Datos!P18-Datos!Q18)/(Datos!R18-Datos!P18+Datos!Q18)),(Datos!P18-Datos!Q18)/(Datos!R18-Datos!P18+Datos!Q18)," - ")</f>
        <v>2.564102564102564E-2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170</v>
      </c>
      <c r="G19" s="820">
        <f t="shared" si="6"/>
        <v>187</v>
      </c>
      <c r="H19" s="822">
        <f t="shared" si="6"/>
        <v>0</v>
      </c>
      <c r="I19" s="820">
        <f t="shared" si="6"/>
        <v>0</v>
      </c>
      <c r="J19" s="822">
        <f t="shared" si="6"/>
        <v>0</v>
      </c>
      <c r="K19" s="822">
        <f t="shared" si="6"/>
        <v>0</v>
      </c>
      <c r="L19" s="881">
        <f t="shared" si="6"/>
        <v>0</v>
      </c>
      <c r="M19" s="881">
        <f t="shared" si="6"/>
        <v>0</v>
      </c>
      <c r="N19" s="881">
        <f t="shared" si="6"/>
        <v>140</v>
      </c>
      <c r="O19" s="881">
        <f t="shared" si="6"/>
        <v>0</v>
      </c>
      <c r="P19" s="881">
        <f t="shared" si="6"/>
        <v>0</v>
      </c>
      <c r="Q19" s="822">
        <f t="shared" si="6"/>
        <v>239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751</v>
      </c>
      <c r="AC19" s="821">
        <f t="shared" si="7"/>
        <v>87</v>
      </c>
      <c r="AD19" s="821">
        <f t="shared" si="7"/>
        <v>0</v>
      </c>
      <c r="AE19" s="821">
        <f t="shared" si="7"/>
        <v>0</v>
      </c>
      <c r="AF19" s="828">
        <f t="shared" si="7"/>
        <v>320</v>
      </c>
      <c r="AG19" s="828">
        <f t="shared" si="7"/>
        <v>0</v>
      </c>
      <c r="AH19" s="828">
        <f t="shared" si="7"/>
        <v>74</v>
      </c>
      <c r="AI19" s="828">
        <f t="shared" si="7"/>
        <v>0</v>
      </c>
      <c r="AJ19" s="821">
        <f t="shared" si="7"/>
        <v>0</v>
      </c>
      <c r="AK19" s="828">
        <f t="shared" si="7"/>
        <v>0</v>
      </c>
      <c r="AL19" s="828">
        <f t="shared" si="7"/>
        <v>0</v>
      </c>
      <c r="AM19" s="828">
        <f t="shared" si="7"/>
        <v>1140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391</v>
      </c>
      <c r="BD19" s="820">
        <f t="shared" si="7"/>
        <v>907</v>
      </c>
      <c r="BE19" s="820">
        <f t="shared" si="7"/>
        <v>0</v>
      </c>
      <c r="BF19" s="830">
        <f t="shared" si="7"/>
        <v>0</v>
      </c>
      <c r="BG19" s="915">
        <f>IF(ISNUMBER(Datos!K19/Datos!J19),Datos!K19/Datos!J19," - ")</f>
        <v>0.7831858407079646</v>
      </c>
      <c r="BH19" s="915">
        <f>IF(ISNUMBER(((Datos!L19/Datos!K19)*11)/factor_trimestre),((Datos!L19/Datos!K19)*11)/factor_trimestre," - ")</f>
        <v>7.9672316384180792</v>
      </c>
      <c r="BI19" s="813">
        <f>IF(ISNUMBER(Datos!J19/Datos!I19),Datos!J19/Datos!I19," - ")</f>
        <v>2.8643852978453741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-4.4176470588235297</v>
      </c>
      <c r="BM19" s="889">
        <f>IF(ISNUMBER((Datos!P19-Datos!Q19+R19)/(Datos!R19-Datos!P19+Datos!Q19-R19)),(Datos!P19-Datos!Q19+R19)/(Datos!R19-Datos!P19+Datos!Q19-R19)," - ")</f>
        <v>0.15384615384615385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92.376043070340131</v>
      </c>
      <c r="G21" s="552">
        <f>IF(ISNUMBER(STDEV(G8:G18)),STDEV(G8:G18),"-")</f>
        <v>90.026107324486716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366.81507602605427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109.79010277191048</v>
      </c>
      <c r="BD21" s="551"/>
      <c r="BE21" s="551">
        <f>IF(ISNUMBER(STDEV(BE8:BE18)),STDEV(BE8:BE18),"-")</f>
        <v>0</v>
      </c>
      <c r="BF21" s="556">
        <f>IF(ISNUMBER(STDEV(BF8:BF18)),STDEV(BF8:BF18),"-")</f>
        <v>0</v>
      </c>
      <c r="BG21" s="775">
        <f>IF(ISNUMBER(STDEV(BG8:BG18)),STDEV(BG8:BG18),"-")</f>
        <v>0.16814821077502362</v>
      </c>
      <c r="BH21" s="776">
        <f>IF(ISNUMBER(STDEV(BH8:BH18)),STDEV(BH8:BH18),"-")</f>
        <v>3.2599705681766618</v>
      </c>
      <c r="BI21" s="249">
        <f>IF(ISNUMBER(STDEV(BI8:BI18)),STDEV(BI8:BI18),"-")</f>
        <v>9.3345952406041571E-2</v>
      </c>
      <c r="BJ21" s="230" t="str">
        <f>IF(ISNUMBER(BL21/BM21),BL21/BM21," - ")</f>
        <v xml:space="preserve"> - </v>
      </c>
      <c r="BK21" s="575"/>
      <c r="BL21" s="559">
        <f>IF(ISNUMBER(STDEV(BL8:BL18)),STDEV(BL8:BL18),"-")</f>
        <v>1.4699250057393072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L/qm2oe797iKh3H3qP5CRSKUVPLfhg9vtKxVOVVS5yjWvQyWJ3Y2J2bAX8fflFM1xwtvpubgHrzPVwSbR4nKJw==" saltValue="Sp5dInj2Qp02y6D/9LPz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BARCO DE VALDEORRAS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66</v>
      </c>
      <c r="AA12" s="332" t="str">
        <f>IF(ISNUMBER(IF(J_V="SI",Datos!L12,Datos!L12+Datos!AB12)-IF(Monitorios="SI",Datos!CD12,0)),
                          IF(J_V="SI",Datos!L12,Datos!L12+Datos!AB12)-IF(Monitorios="SI",Datos!CD12,0),
                          " - ")</f>
        <v xml:space="preserve"> - </v>
      </c>
      <c r="AB12" s="334"/>
      <c r="AC12" s="334"/>
      <c r="AD12" s="484"/>
      <c r="AE12" s="484">
        <f>IF(ISNUMBER(Datos!R12),Datos!R12," - ")</f>
        <v>1100</v>
      </c>
      <c r="AF12" s="229" t="str">
        <f>IF(ISNUMBER(Datos!BV12),Datos!BV12," - ")</f>
        <v xml:space="preserve"> - </v>
      </c>
      <c r="AG12" s="225" t="str">
        <f>IF(ISNUMBER(Datos!DV12),Datos!DV12," - ")</f>
        <v xml:space="preserve"> - </v>
      </c>
      <c r="AH12" s="298"/>
      <c r="AI12" s="227"/>
      <c r="AJ12" s="225">
        <f>IF(ISNUMBER(Datos!M12),Datos!M12," - ")</f>
        <v>253</v>
      </c>
      <c r="AK12" s="229">
        <f>IF(ISNUMBER(Datos!N12),Datos!N12," - ")</f>
        <v>486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10.040528634361234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0.15911485774499473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66</v>
      </c>
      <c r="AA13" s="900">
        <f t="shared" si="2"/>
        <v>3</v>
      </c>
      <c r="AB13" s="900">
        <f t="shared" si="2"/>
        <v>0</v>
      </c>
      <c r="AC13" s="900">
        <f t="shared" si="2"/>
        <v>0</v>
      </c>
      <c r="AD13" s="900">
        <f t="shared" si="2"/>
        <v>0</v>
      </c>
      <c r="AE13" s="900">
        <f t="shared" si="2"/>
        <v>1100</v>
      </c>
      <c r="AF13" s="908">
        <f t="shared" si="2"/>
        <v>0</v>
      </c>
      <c r="AG13" s="908">
        <f t="shared" si="2"/>
        <v>0</v>
      </c>
      <c r="AH13" s="908">
        <f t="shared" si="2"/>
        <v>0</v>
      </c>
      <c r="AI13" s="908">
        <f t="shared" si="2"/>
        <v>0</v>
      </c>
      <c r="AJ13" s="908">
        <f t="shared" si="2"/>
        <v>255</v>
      </c>
      <c r="AK13" s="908">
        <f t="shared" si="2"/>
        <v>486</v>
      </c>
      <c r="AL13" s="908">
        <f t="shared" si="2"/>
        <v>0</v>
      </c>
      <c r="AM13" s="908">
        <f t="shared" si="2"/>
        <v>0</v>
      </c>
      <c r="AN13" s="908">
        <f t="shared" si="2"/>
        <v>0</v>
      </c>
      <c r="AO13" s="904">
        <f>IF(ISNUMBER(((NºAsuntos!I13/NºAsuntos!G13)*11)/factor_trimestre),((NºAsuntos!I13/NºAsuntos!G13)*11)/factor_trimestre," - ")</f>
        <v>9.9642545771578028</v>
      </c>
      <c r="AP13" s="910" t="str">
        <f>IF(ISNUMBER(Datos!CI13/Datos!CJ13),Datos!CI13/Datos!CJ13," - ")</f>
        <v xml:space="preserve"> - </v>
      </c>
      <c r="AQ13" s="928">
        <f t="shared" ref="AQ13:AV13" si="3">SUBTOTAL(9,AQ9:AQ12)</f>
        <v>0</v>
      </c>
      <c r="AR13" s="928">
        <f t="shared" si="3"/>
        <v>0.15911485774499473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165</v>
      </c>
      <c r="G16" s="225">
        <f>IF(ISNUMBER(IF(D_I="SI",Datos!I16,Datos!I16+Datos!AC16)),IF(D_I="SI",Datos!I16,Datos!I16+Datos!AC16)," - ")</f>
        <v>164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661</v>
      </c>
      <c r="Z16" s="619">
        <f>IF(ISNUMBER(Datos!Q16),Datos!Q16," - ")</f>
        <v>21</v>
      </c>
      <c r="AA16" s="332">
        <f>IF(ISNUMBER(IF(D_I="SI",Datos!L16,Datos!L16+Datos!AF16)),IF(D_I="SI",Datos!L16,Datos!L16+Datos!AF16)," - ")</f>
        <v>290</v>
      </c>
      <c r="AB16" s="334"/>
      <c r="AC16" s="334"/>
      <c r="AD16" s="484"/>
      <c r="AE16" s="484">
        <f>IF(ISNUMBER(Datos!R16),Datos!R16," - ")</f>
        <v>38</v>
      </c>
      <c r="AF16" s="229" t="str">
        <f>IF(ISNUMBER(Datos!BV16),Datos!BV16," - ")</f>
        <v xml:space="preserve"> - </v>
      </c>
      <c r="AG16" s="225"/>
      <c r="AH16" s="298"/>
      <c r="AI16" s="227"/>
      <c r="AJ16" s="225">
        <f>IF(ISNUMBER(Datos!M16),Datos!M16," - ")</f>
        <v>120</v>
      </c>
      <c r="AK16" s="229">
        <f>IF(ISNUMBER(Datos!N16),Datos!N16," - ")</f>
        <v>369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4.8260211800302573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27</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16</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3.8076923076923075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165</v>
      </c>
      <c r="G18" s="898">
        <f>SUBTOTAL(9,G15:G17)</f>
        <v>182</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739</v>
      </c>
      <c r="Z18" s="932">
        <f t="shared" si="5"/>
        <v>21</v>
      </c>
      <c r="AA18" s="932">
        <f t="shared" si="5"/>
        <v>317</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136</v>
      </c>
      <c r="AK18" s="932">
        <f t="shared" si="5"/>
        <v>421</v>
      </c>
      <c r="AL18" s="932">
        <f t="shared" si="5"/>
        <v>0</v>
      </c>
      <c r="AM18" s="932">
        <f t="shared" si="5"/>
        <v>0</v>
      </c>
      <c r="AN18" s="932">
        <f t="shared" si="5"/>
        <v>0</v>
      </c>
      <c r="AO18" s="934">
        <f>IF(ISNUMBER(((NºAsuntos!I18/NºAsuntos!G18)*11)/factor_trimestre),((NºAsuntos!I18/NºAsuntos!G18)*11)/factor_trimestre," - ")</f>
        <v>4.7185385656292285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170</v>
      </c>
      <c r="G19" s="820">
        <f t="shared" si="7"/>
        <v>187</v>
      </c>
      <c r="H19" s="821">
        <f t="shared" si="7"/>
        <v>0</v>
      </c>
      <c r="I19" s="820">
        <f t="shared" si="7"/>
        <v>0</v>
      </c>
      <c r="J19" s="822">
        <f t="shared" si="7"/>
        <v>0</v>
      </c>
      <c r="K19" s="820">
        <f t="shared" si="7"/>
        <v>0</v>
      </c>
      <c r="L19" s="823">
        <f t="shared" si="7"/>
        <v>0</v>
      </c>
      <c r="M19" s="820">
        <f t="shared" si="7"/>
        <v>0</v>
      </c>
      <c r="N19" s="821">
        <f t="shared" si="7"/>
        <v>239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751</v>
      </c>
      <c r="Z19" s="827">
        <f t="shared" si="8"/>
        <v>87</v>
      </c>
      <c r="AA19" s="828">
        <f t="shared" si="8"/>
        <v>320</v>
      </c>
      <c r="AB19" s="828">
        <f t="shared" si="8"/>
        <v>0</v>
      </c>
      <c r="AC19" s="828">
        <f t="shared" si="8"/>
        <v>0</v>
      </c>
      <c r="AD19" s="829">
        <f t="shared" si="8"/>
        <v>0</v>
      </c>
      <c r="AE19" s="829">
        <f t="shared" si="8"/>
        <v>1140</v>
      </c>
      <c r="AF19" s="830">
        <f t="shared" si="8"/>
        <v>0</v>
      </c>
      <c r="AG19" s="831">
        <f t="shared" si="8"/>
        <v>0</v>
      </c>
      <c r="AH19" s="832">
        <f t="shared" si="8"/>
        <v>0</v>
      </c>
      <c r="AI19" s="830">
        <f t="shared" si="8"/>
        <v>0</v>
      </c>
      <c r="AJ19" s="820">
        <f t="shared" si="8"/>
        <v>391</v>
      </c>
      <c r="AK19" s="820">
        <f t="shared" si="8"/>
        <v>907</v>
      </c>
      <c r="AL19" s="820">
        <f t="shared" si="8"/>
        <v>0</v>
      </c>
      <c r="AM19" s="833">
        <f t="shared" si="8"/>
        <v>0</v>
      </c>
      <c r="AN19" s="823">
        <f>IF(ISNUMBER(Datos!K19/Datos!J19),Datos!K19/Datos!J19," - ")</f>
        <v>0.7831858407079646</v>
      </c>
      <c r="AO19" s="823">
        <f>IF(ISNUMBER(FIND("06",Criterios!A8,1)),(IF(ISNUMBER(((Datos!R19/Datos!Q19)*11)/factor_trimestre),((Datos!R19/Datos!Q19)*11)/factor_trimestre," - ")),(IF(ISNUMBER(((Datos!L19/Datos!K19)*11)/factor_trimestre),((Datos!L19/Datos!K19)*11)/factor_trimestre," - ")))</f>
        <v>7.9672316384180792</v>
      </c>
      <c r="AP19" s="834" t="str">
        <f>IF(ISNUMBER(Datos!CI19/Datos!CJ19),Datos!CI19/Datos!CJ19," - ")</f>
        <v xml:space="preserve"> - </v>
      </c>
      <c r="AQ19" s="834">
        <f>IF(OR(ISNUMBER(FIND("01",Criterios!A8,1)),ISNUMBER(FIND("02",Criterios!A8,1)),ISNUMBER(FIND("03",Criterios!A8,1)),ISNUMBER(FIND("04",Criterios!A8,1))),(J19-Y19+K19)/(F19-K19),(I19-Y19+K19)/(F19-K19))</f>
        <v>-4.4176470588235297</v>
      </c>
      <c r="AR19" s="834">
        <f>IF(ISNUMBER((Datos!P19-Datos!Q19+O19)/(Datos!R19-Datos!P19+Datos!Q19-O19)),(Datos!P19-Datos!Q19+O19)/(Datos!R19-Datos!P19+Datos!Q19-O19)," - ")</f>
        <v>0.15384615384615385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92.376043070340131</v>
      </c>
      <c r="G21" s="552">
        <f>IF(ISNUMBER(STDEV(G8:G18)),STDEV(G8:G18),"-")</f>
        <v>90.026107324486716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109.79010277191048</v>
      </c>
      <c r="AK21" s="252"/>
      <c r="AL21" s="252">
        <f>IF(ISNUMBER(STDEV(AL8:AL18)),STDEV(AL8:AL18),"-")</f>
        <v>0</v>
      </c>
      <c r="AM21" s="254">
        <f>IF(ISNUMBER(STDEV(AM8:AM18)),STDEV(AM8:AM18),"-")</f>
        <v>0</v>
      </c>
      <c r="AN21" s="539">
        <f>IF(ISNUMBER(STDEV(AN8:AN18)),STDEV(AN8:AN18),"-")</f>
        <v>0</v>
      </c>
      <c r="AO21" s="540">
        <f>IF(ISNUMBER(STDEV(AO8:AO18)),STDEV(AO8:AO18),"-")</f>
        <v>3.1757946806499926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RmoeNEuOTauuut1hL67g2pcLe0z44emPvseO6Jy/CXrOPEBGLwWnJQr/lKS9/sR9wSYvFZUpObQ2qFmHsrHLQ==" saltValue="JgJdKB+Tk4grMVya48oU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7harFaSLpnvUIPcboOX2jWnvLERHmK+pZQVn8wy1je2mDUEn71r/NSQLZGNs1B8ImRQhxt7T/IHHuNb7XQ7g==" saltValue="2D91lsxiJa4tZH4TbP2d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66es19tXkR6WzgOTdXocJc6xFKCWuA0fmz29UNDBviszkTBxNkUGyv2ETvoU1iefzO3/RY1g1xZXgZg+qZrA==" saltValue="wmdq2vOgzQqrxTBPq5O2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BARCO DE VALDEORRAS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0.22231909328683522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0.15720333845036585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7+AVZHTQ9RH5dBgUsepRF3qF+crNqOynIa5WD4nntdAWsMBS5E72NXwfeslzjCzXrm94/BVFTTLJV4xTRLS/g==" saltValue="7Oa60G9jgteDssupQTZ6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j6HqqXCkb1B3V4k5/yV+fuK5+ZgkbGkXVRkBYgoV0lrogs9Dgm4u5hL/r2CSzDYQESyOODPy5gekps9eHXytA==" saltValue="MEq+JqvOJQ1VjM22q2Vo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BARCO DE VALDEORRAS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253</v>
      </c>
      <c r="AM12" s="690">
        <f>IF(ISNUMBER(Datos!N12+DatosP!N16),Datos!N12+DatosP!N16," - ")</f>
        <v>486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10.040528634361234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0.15911485774499473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66</v>
      </c>
      <c r="AE13" s="939">
        <f t="shared" si="1"/>
        <v>0</v>
      </c>
      <c r="AF13" s="939">
        <f t="shared" si="1"/>
        <v>3</v>
      </c>
      <c r="AG13" s="939">
        <f t="shared" si="1"/>
        <v>0</v>
      </c>
      <c r="AH13" s="939">
        <f t="shared" si="1"/>
        <v>1100</v>
      </c>
      <c r="AI13" s="939">
        <f t="shared" si="1"/>
        <v>0</v>
      </c>
      <c r="AJ13" s="939">
        <f t="shared" si="1"/>
        <v>0</v>
      </c>
      <c r="AK13" s="939">
        <f t="shared" si="1"/>
        <v>0</v>
      </c>
      <c r="AL13" s="939">
        <f t="shared" si="1"/>
        <v>255</v>
      </c>
      <c r="AM13" s="939">
        <f t="shared" si="1"/>
        <v>486</v>
      </c>
      <c r="AN13" s="939">
        <f t="shared" si="1"/>
        <v>0</v>
      </c>
      <c r="AO13" s="939">
        <f t="shared" si="1"/>
        <v>0</v>
      </c>
      <c r="AP13" s="944">
        <f>IF(ISNUMBER(((Datos!L13/Datos!K13)*11)/factor_trimestre),((Datos!L13/Datos!K13)*11)/factor_trimestre," - ")</f>
        <v>10.295829291949563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-2.4</v>
      </c>
      <c r="AU13" s="939" t="str">
        <f>IF(ISNUMBER((DatosP!#REF!-DatosP!#REF!+DatosP!#REF!)/(DatosP!#REF!+DatosP!#REF!-DatosP!#REF!-DatosP!#REF!)),(DatosP!#REF!-DatosP!#REF!+DatosP!#REF!)/(DatosP!#REF!+DatosP!#REF!-DatosP!#REF!-DatosP!#REF!)," - ")</f>
        <v xml:space="preserve"> - </v>
      </c>
      <c r="AV13" s="945">
        <f>SUBTOTAL(9,AV9:AV12)</f>
        <v>0.15911485774499473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4.7185385656292285</v>
      </c>
      <c r="AQ18" s="944">
        <f>IF(ISNUMBER(((Datos!M18/Datos!L18)*11)/factor_trimestre),((Datos!M18/Datos!L18)*11)/factor_trimestre," - ")</f>
        <v>4.7192429022082019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2.564102564102564E-2</v>
      </c>
      <c r="AW18" s="946">
        <f>IF(ISNUMBER((Datos!Q18-Datos!R18)/(Datos!S18-Datos!Q18+Datos!R18)),(Datos!Q18-Datos!R18)/(Datos!S18-Datos!Q18+Datos!R18)," - ")</f>
        <v>-0.10614525139664804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66</v>
      </c>
      <c r="AE19" s="957">
        <f t="shared" si="5"/>
        <v>0</v>
      </c>
      <c r="AF19" s="958">
        <f t="shared" si="5"/>
        <v>3</v>
      </c>
      <c r="AG19" s="958">
        <f t="shared" si="5"/>
        <v>0</v>
      </c>
      <c r="AH19" s="958">
        <f t="shared" si="5"/>
        <v>1100</v>
      </c>
      <c r="AI19" s="958">
        <f t="shared" si="5"/>
        <v>0</v>
      </c>
      <c r="AJ19" s="959">
        <f t="shared" si="5"/>
        <v>0</v>
      </c>
      <c r="AK19" s="959">
        <f t="shared" si="5"/>
        <v>0</v>
      </c>
      <c r="AL19" s="951">
        <f t="shared" si="5"/>
        <v>255</v>
      </c>
      <c r="AM19" s="951">
        <f t="shared" si="5"/>
        <v>486</v>
      </c>
      <c r="AN19" s="951">
        <f t="shared" si="5"/>
        <v>0</v>
      </c>
      <c r="AO19" s="951">
        <f t="shared" si="5"/>
        <v>0</v>
      </c>
      <c r="AP19" s="951">
        <f>IF(ISNUMBER(((Datos!L19/Datos!K19)*11)/factor_trimestre),((Datos!L19/Datos!K19)*11)/factor_trimestre," - ")</f>
        <v>7.9672316384180792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0.15384615384615385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146.0741820674231</v>
      </c>
      <c r="AM21" s="736"/>
      <c r="AN21" s="736">
        <f>IF(ISNUMBER(STDEV(AN8:AN18)),STDEV(AN8:AN18),"-")</f>
        <v>0</v>
      </c>
      <c r="AO21" s="742">
        <f>IF(ISNUMBER(STDEV(AO8:AO18)),STDEV(AO8:AO18),"-")</f>
        <v>0</v>
      </c>
      <c r="AP21" s="779">
        <f>IF(ISNUMBER(STDEV(AP8:AP18)),STDEV(AP8:AP18),"-")</f>
        <v>3.8019887352914914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oXCXmZsp4QCJzBCglwH2NSgDt+uOlXktYklm+ixtdTawHVsdaPxXaY/gNBIaKf4FZh9uIARWWbq29FS7f7kUQ==" saltValue="0WynzpEeInnWKa0T0kLs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